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0" yWindow="360" windowWidth="12120" windowHeight="9120" activeTab="18"/>
  </bookViews>
  <sheets>
    <sheet name="liite 1" sheetId="1" r:id="rId1"/>
    <sheet name="Liite 2" sheetId="2" r:id="rId2"/>
    <sheet name="liite 3a" sheetId="3" r:id="rId3"/>
    <sheet name="liite 3b" sheetId="4" r:id="rId4"/>
    <sheet name="liite 3c" sheetId="5" r:id="rId5"/>
    <sheet name="liite 3d" sheetId="6" r:id="rId6"/>
    <sheet name="liite 4" sheetId="7" r:id="rId7"/>
    <sheet name="liite 5" sheetId="8" r:id="rId8"/>
    <sheet name="liite 6" sheetId="9" r:id="rId9"/>
    <sheet name="liite 7" sheetId="10" r:id="rId10"/>
    <sheet name="Liite 8" sheetId="11" r:id="rId11"/>
    <sheet name="liite 9" sheetId="12" r:id="rId12"/>
    <sheet name="liite 10" sheetId="13" r:id="rId13"/>
    <sheet name="liite 11" sheetId="14" r:id="rId14"/>
    <sheet name="liite 12" sheetId="15" r:id="rId15"/>
    <sheet name="liite 13" sheetId="16" r:id="rId16"/>
    <sheet name="liite 14" sheetId="17" r:id="rId17"/>
    <sheet name="Liite 15" sheetId="18" r:id="rId18"/>
    <sheet name="Liite 16" sheetId="19" r:id="rId19"/>
  </sheets>
  <definedNames>
    <definedName name="_xlnm.Print_Area" localSheetId="13">'liite 11'!$B$3:$L$57</definedName>
    <definedName name="_xlnm.Print_Area" localSheetId="15">'liite 13'!$A$3:$I$43</definedName>
    <definedName name="_xlnm.Print_Area" localSheetId="18">'Liite 16'!$A$1:$G$76</definedName>
    <definedName name="_xlnm.Print_Area" localSheetId="2">'liite 3a'!$A$1:$N$32</definedName>
    <definedName name="_xlnm.Print_Area" localSheetId="4">'liite 3c'!$A$1:$U$69</definedName>
    <definedName name="_xlnm.Print_Area" localSheetId="5">'liite 3d'!$A$1:$U$65</definedName>
    <definedName name="_xlnm.Print_Area" localSheetId="7">'liite 5'!$A$1:$T$90</definedName>
    <definedName name="_xlnm.Print_Area" localSheetId="8">'liite 6'!$A$1:$AA$22</definedName>
    <definedName name="_xlnm.Print_Area" localSheetId="9">'liite 7'!$A$2:$Z$42</definedName>
    <definedName name="_xlnm.Print_Area" localSheetId="11">'liite 9'!$A$1:$O$20</definedName>
  </definedNames>
  <calcPr fullCalcOnLoad="1"/>
</workbook>
</file>

<file path=xl/sharedStrings.xml><?xml version="1.0" encoding="utf-8"?>
<sst xmlns="http://schemas.openxmlformats.org/spreadsheetml/2006/main" count="875" uniqueCount="455">
  <si>
    <t>Liite 2</t>
  </si>
  <si>
    <t>Esimerkki 1</t>
  </si>
  <si>
    <t>Tietokone</t>
  </si>
  <si>
    <t>Lisämuisti</t>
  </si>
  <si>
    <t>Yhteensä</t>
  </si>
  <si>
    <t>Veroton hankintameno</t>
  </si>
  <si>
    <t>Hankinta yhteensä</t>
  </si>
  <si>
    <t>Esimerkki 2</t>
  </si>
  <si>
    <t>Tuotannon automaattikone</t>
  </si>
  <si>
    <t>(arvonlisäveroton)</t>
  </si>
  <si>
    <t>Kuljetus</t>
  </si>
  <si>
    <t>Vakuutus</t>
  </si>
  <si>
    <t>Asennus</t>
  </si>
  <si>
    <t>Käteisalennus koneesta</t>
  </si>
  <si>
    <t>Hankintameno</t>
  </si>
  <si>
    <t>Saatu valtionavustus</t>
  </si>
  <si>
    <t>Esimerkki suunnitelmapoistoista kirjanpidossa menojäännöspoistomenetelmällä</t>
  </si>
  <si>
    <t>a) suunnitelmapoistot</t>
  </si>
  <si>
    <t>Koneet ja kalusto</t>
  </si>
  <si>
    <t>Suunnitelmapoistot</t>
  </si>
  <si>
    <t>Ostettu auto</t>
  </si>
  <si>
    <t>Ostettu tuotantokone</t>
  </si>
  <si>
    <t>Vaihdettu auto</t>
  </si>
  <si>
    <t>Uuden auton hankintameno</t>
  </si>
  <si>
    <t>Vanhan auton vaihtoarvo</t>
  </si>
  <si>
    <t>Esimerkki liitetiedoista</t>
  </si>
  <si>
    <t>Muut pitkävaikutteiset menot (tietokoneohjelmia)</t>
  </si>
  <si>
    <t>3 vuotta</t>
  </si>
  <si>
    <t>Rakennukset</t>
  </si>
  <si>
    <t>Koneet ja</t>
  </si>
  <si>
    <t>kalusto</t>
  </si>
  <si>
    <t>Hankinta-</t>
  </si>
  <si>
    <t>Nimike</t>
  </si>
  <si>
    <t>Nimike/Tarkenne</t>
  </si>
  <si>
    <t>meno</t>
  </si>
  <si>
    <t>OSTOT</t>
  </si>
  <si>
    <t>Tosite</t>
  </si>
  <si>
    <t>Malli A</t>
  </si>
  <si>
    <t>Malli B</t>
  </si>
  <si>
    <t>Kirjoitin</t>
  </si>
  <si>
    <t>Malli Writer</t>
  </si>
  <si>
    <t>Malli B.1</t>
  </si>
  <si>
    <t>MYYNNIT</t>
  </si>
  <si>
    <t>Myyntihinta</t>
  </si>
  <si>
    <t>Malli 0.1</t>
  </si>
  <si>
    <t>Kertyneet poistot</t>
  </si>
  <si>
    <t>Esimerkki suunnitelmapoistoista kirjanpidossa tasapoistomenetelmällä</t>
  </si>
  <si>
    <t>Poistoryhmä 5 vuotta</t>
  </si>
  <si>
    <t xml:space="preserve"> - menojäännöksestä </t>
  </si>
  <si>
    <t xml:space="preserve"> - autosta 1/2 vuotta</t>
  </si>
  <si>
    <t xml:space="preserve"> *)</t>
  </si>
  <si>
    <t xml:space="preserve"> - autosta</t>
  </si>
  <si>
    <t xml:space="preserve"> **)</t>
  </si>
  <si>
    <t>Vanhan auton suunnitelmapoistot</t>
  </si>
  <si>
    <t>Auton menojäännös</t>
  </si>
  <si>
    <t>Vaihtoarvo</t>
  </si>
  <si>
    <t>Myyntitappio</t>
  </si>
  <si>
    <t>****)</t>
  </si>
  <si>
    <t xml:space="preserve"> - uudesta autosta 1/2 vuotta</t>
  </si>
  <si>
    <t xml:space="preserve"> - tuotantokoneesta 1/2 vuotta</t>
  </si>
  <si>
    <t>***)</t>
  </si>
  <si>
    <t>Tilikauden muutokset</t>
  </si>
  <si>
    <t>Suunnitelmapoistot tilikaudella</t>
  </si>
  <si>
    <t>Esimerkkejä suunnitelman mukaisista poistoajoista</t>
  </si>
  <si>
    <t>A PYSYVÄT VASTAAVAT</t>
  </si>
  <si>
    <t>I  Aineettomat hyödykkeet</t>
  </si>
  <si>
    <t>3. Kehittämismenot</t>
  </si>
  <si>
    <t>4. Aineettomat oikeudet</t>
  </si>
  <si>
    <t>5. Liikearvo</t>
  </si>
  <si>
    <t>vuotta</t>
  </si>
  <si>
    <t xml:space="preserve"> (esim. atk-ohjelmistot)</t>
  </si>
  <si>
    <t>II Aineelliset hyödykkeet</t>
  </si>
  <si>
    <t>1. Maa- ja vesialueet</t>
  </si>
  <si>
    <t>2. Rakennukset ja rakennelmat</t>
  </si>
  <si>
    <t>ei poistoaikaa</t>
  </si>
  <si>
    <t>Teollisuus- ja toimistorakennukset</t>
  </si>
  <si>
    <t>Kevyet varastot ja rakennelmat</t>
  </si>
  <si>
    <t>Asuinrakennukset</t>
  </si>
  <si>
    <t xml:space="preserve">20-40 </t>
  </si>
  <si>
    <t>10-20</t>
  </si>
  <si>
    <t>30-50</t>
  </si>
  <si>
    <t>3. Koneet ja kalusto</t>
  </si>
  <si>
    <t>Raskaat koneet</t>
  </si>
  <si>
    <t>Kevyet koneet</t>
  </si>
  <si>
    <t>Kuljetusvälineet</t>
  </si>
  <si>
    <t>Atk-laitteet</t>
  </si>
  <si>
    <t>4. Muut aineelliset hyödykkeet</t>
  </si>
  <si>
    <t>5. Ennakkomaksut ja keskeneräiset</t>
  </si>
  <si>
    <t>hankinnat</t>
  </si>
  <si>
    <t>10-15</t>
  </si>
  <si>
    <t>5-10</t>
  </si>
  <si>
    <t>4-7</t>
  </si>
  <si>
    <t>5-20</t>
  </si>
  <si>
    <t>III Sijoitukset</t>
  </si>
  <si>
    <t>2-5</t>
  </si>
  <si>
    <t>KPL:n sallima</t>
  </si>
  <si>
    <t>enimmäispoistoaika</t>
  </si>
  <si>
    <t>kirjanpitovelvollisen yksilölliset olosuhteet. Poistoaikaan voi vaikuttaa sovellettava</t>
  </si>
  <si>
    <t>poistomenetelmä (tasa-, degressiivinen tai muu sellainen poisto).</t>
  </si>
  <si>
    <t xml:space="preserve">enimmäispoistoajoiksi, vaan ne edustavat kirjanpitolautakunnan käsitystä yleisesti </t>
  </si>
  <si>
    <t xml:space="preserve">Jäljempänä esitettyjä vuosimääriä ei pidä tulkita ehdottomiksi vähimmäis- tai </t>
  </si>
  <si>
    <t>vastaavat menojäännöspoistoprosentit **).</t>
  </si>
  <si>
    <t xml:space="preserve"> tulee poistettua esitettyjen poistoaikojen puitteissa</t>
  </si>
  <si>
    <t xml:space="preserve"> **) poistoprosentti, jota soveltamalla noin 90 %:a alkuperäisestä hankintamenosta</t>
  </si>
  <si>
    <t>Vähennettävä vero, ei lueta hankintamenoon</t>
  </si>
  <si>
    <t xml:space="preserve"> 1)</t>
  </si>
  <si>
    <t xml:space="preserve"> 2)</t>
  </si>
  <si>
    <t>25 % menojäännöksestä</t>
  </si>
  <si>
    <t>Tili 1210</t>
  </si>
  <si>
    <t>ATK-laitteet</t>
  </si>
  <si>
    <t>KONEET JA KALUSTO</t>
  </si>
  <si>
    <t xml:space="preserve"> </t>
  </si>
  <si>
    <t>tasapoistot, 3 vuotta</t>
  </si>
  <si>
    <t>Tili 1231</t>
  </si>
  <si>
    <t xml:space="preserve">Kertyneet </t>
  </si>
  <si>
    <t>poistot 1.1.</t>
  </si>
  <si>
    <t xml:space="preserve">Tilikauden </t>
  </si>
  <si>
    <t>poistot</t>
  </si>
  <si>
    <t>Poistamaton</t>
  </si>
  <si>
    <t>hankintameno</t>
  </si>
  <si>
    <t>Tili 1232</t>
  </si>
  <si>
    <t>Tili 1233</t>
  </si>
  <si>
    <t>Atk-laitteet yhteensä</t>
  </si>
  <si>
    <t>Lisäykset</t>
  </si>
  <si>
    <t>Vähennykset</t>
  </si>
  <si>
    <t>Tilinpäätöksen laadintaperiaatteet</t>
  </si>
  <si>
    <t xml:space="preserve">hyödykkeiden taloudellisen pitoajan perusteella. </t>
  </si>
  <si>
    <t>Aineettomat hyödykkeet</t>
  </si>
  <si>
    <t>Siirrot erien välillä</t>
  </si>
  <si>
    <t xml:space="preserve">Vähennysten ja siirtojen </t>
  </si>
  <si>
    <t>Tilikauden poistot</t>
  </si>
  <si>
    <t>kertyneet poistot</t>
  </si>
  <si>
    <t>Tilikauden arvonalentumiset</t>
  </si>
  <si>
    <t>Arvonalentumisten palautukset</t>
  </si>
  <si>
    <t>Muut pitkävaikutteiset</t>
  </si>
  <si>
    <t>menot</t>
  </si>
  <si>
    <t>3-7 vuotta</t>
  </si>
  <si>
    <t>20 vuotta</t>
  </si>
  <si>
    <t>Aineelliset hyödykkeet</t>
  </si>
  <si>
    <t>Maa-alueet</t>
  </si>
  <si>
    <t>Raken-</t>
  </si>
  <si>
    <t>nukset</t>
  </si>
  <si>
    <t>Keskeneräiset</t>
  </si>
  <si>
    <t xml:space="preserve">Tuotannon koneiden ja laitteiden </t>
  </si>
  <si>
    <t>Tuloslaskelmaa koskevat liitetiedot</t>
  </si>
  <si>
    <t>x. Suunnitelman mukaisten poistojen perusteet</t>
  </si>
  <si>
    <t>mukaisilla poistoilla. Hankintamenoon on luettu hankinnasta ja valmistuksesta</t>
  </si>
  <si>
    <t>aiheutuneet muuttuvat menot. Saadut avustukset on kirjattu hankintamenon vähennykseksi.</t>
  </si>
  <si>
    <t xml:space="preserve">Muiden pitkävaikutteisten menojen hankintamenoista suunnitelmapoistot </t>
  </si>
  <si>
    <t xml:space="preserve"> ***)</t>
  </si>
  <si>
    <t>15 % - 20 %</t>
  </si>
  <si>
    <t>20 % - 40 %</t>
  </si>
  <si>
    <t>30 % - 45 %</t>
  </si>
  <si>
    <t>yksittäisen kirjanpitovelvollisen pysyviin vastaaviin kuuluvien aineellisten ja aineettomien</t>
  </si>
  <si>
    <t>3-5</t>
  </si>
  <si>
    <t>Tasapoistoa vastaava</t>
  </si>
  <si>
    <t>Liite 3</t>
  </si>
  <si>
    <t>Liite 4</t>
  </si>
  <si>
    <t>Liite 5</t>
  </si>
  <si>
    <t>Liite 6</t>
  </si>
  <si>
    <t>Liite 10</t>
  </si>
  <si>
    <t>Hankintamenon kattaminen varauksella</t>
  </si>
  <si>
    <t>Varausten muutos</t>
  </si>
  <si>
    <t xml:space="preserve">Suunnitelmapoistot </t>
  </si>
  <si>
    <t>Liite 8</t>
  </si>
  <si>
    <t>Tilikauden lisäykset</t>
  </si>
  <si>
    <t>Tilikauden lisäykset yhteensä</t>
  </si>
  <si>
    <t>Tili 1234</t>
  </si>
  <si>
    <t>Tilikauden vähennykset</t>
  </si>
  <si>
    <t>Liite 7</t>
  </si>
  <si>
    <t>on laskettu arvioidun kolmen vuoden taloudellisen käyttöiän mukaan.</t>
  </si>
  <si>
    <t>Tasetta koskevat liitetiedot</t>
  </si>
  <si>
    <t>Liite 9</t>
  </si>
  <si>
    <t>Kirjanpitoarvo</t>
  </si>
  <si>
    <t xml:space="preserve">Kirjanpitoarvo </t>
  </si>
  <si>
    <t xml:space="preserve"> *) 25 % menojäännöspoisto</t>
  </si>
  <si>
    <t xml:space="preserve"> Verotuksessa hyväksyttävät suunnitelmapoistoja suuremmat poistot voidaan huomioida vain veroilmoituksessa.</t>
  </si>
  <si>
    <t>Suunnitelmapoistot *)</t>
  </si>
  <si>
    <t>Taseen poistoero</t>
  </si>
  <si>
    <t>**)</t>
  </si>
  <si>
    <t>Verotuksessa poistamaton menojäännös</t>
  </si>
  <si>
    <t xml:space="preserve"> - tuotantokoneesta </t>
  </si>
  <si>
    <t xml:space="preserve"> ****)</t>
  </si>
  <si>
    <t>40 % - 55 %</t>
  </si>
  <si>
    <t>hyödykkeiden hankintamenojen poistoajoiksi. Poistoaikaan vaikuttaa sekä toimiala että</t>
  </si>
  <si>
    <t>käytettävistä poistoajoista. Ohessa on esitetty myös kirjanpitolain (KPL) sallimat aineettomien</t>
  </si>
  <si>
    <t>6. Muut pitkävaikutteiset menot</t>
  </si>
  <si>
    <t>Poistopohja</t>
  </si>
  <si>
    <t>Poistoeron muutos</t>
  </si>
  <si>
    <t>Liiketoiminnan</t>
  </si>
  <si>
    <t>muut kulut</t>
  </si>
  <si>
    <t>Kokonaispoistot (menojäännös * 25 %)</t>
  </si>
  <si>
    <t>Esimerkki liitetiedoista, pieni kirjanpitovelvollinen (osakeyhtiö)</t>
  </si>
  <si>
    <t>Jälleenhankinta-</t>
  </si>
  <si>
    <t>varaus</t>
  </si>
  <si>
    <t>**) Verotuksessa poistamaton menojäännös</t>
  </si>
  <si>
    <t>*) Verotuksessa vähennyskelpoinen hankintameno</t>
  </si>
  <si>
    <t xml:space="preserve">Poistoeron </t>
  </si>
  <si>
    <t>muutos</t>
  </si>
  <si>
    <t>Ostettu atk-laitteita</t>
  </si>
  <si>
    <t>*)</t>
  </si>
  <si>
    <t>Vaikka tilikauden suunnitelmapoistot ovat pienemmät kuin EVL:n sallimat enimmäispoistot ei tuloslaskelmaan</t>
  </si>
  <si>
    <t>Ns. hyllypoistot yhteensä</t>
  </si>
  <si>
    <t xml:space="preserve">Ns. verotuksessa vähentämättömien </t>
  </si>
  <si>
    <t>hyllypoistojen määrä</t>
  </si>
  <si>
    <t>Kirjattavan poistoeron muutoksen määrä:</t>
  </si>
  <si>
    <t>vuodessa. Esimerkissä oletetaan, että kirjanpitovelvollinen on hankkinut kaikki atk-laitteet tilikauden alussa. Kirjanpitovelvollinen</t>
  </si>
  <si>
    <t>Verolainsäädännön mukaiset enimmäispoistot</t>
  </si>
  <si>
    <t>Kokonais- ja suunnitelmapoistojen erotus</t>
  </si>
  <si>
    <t>suositeltavaa seurata erikseen.</t>
  </si>
  <si>
    <t>Poistoeron lisäys</t>
  </si>
  <si>
    <t xml:space="preserve">Aineelliset </t>
  </si>
  <si>
    <t>hyödykkeet</t>
  </si>
  <si>
    <t>yhteensä</t>
  </si>
  <si>
    <t>ajankohta</t>
  </si>
  <si>
    <t>Myynti-</t>
  </si>
  <si>
    <t>Esimerkki tase-erittelystä: tasapoistot, kertyneitä poistoja seurataan tase-erittelyissä *)</t>
  </si>
  <si>
    <t xml:space="preserve"> *) Seuranta voidaan hoitaa myös pääkirjanpidon tilejä hyväksikäyttäen.</t>
  </si>
  <si>
    <t>Liite 1</t>
  </si>
  <si>
    <t>Liite 11</t>
  </si>
  <si>
    <t>Esimerkki arvonkorotuksen purkamisesta myyntitilanteessa</t>
  </si>
  <si>
    <t>ja osuudet</t>
  </si>
  <si>
    <t xml:space="preserve">Muut osakkeet </t>
  </si>
  <si>
    <t>Arvonkorotus-</t>
  </si>
  <si>
    <t>rahasto</t>
  </si>
  <si>
    <t>Liiketoiminnan muut</t>
  </si>
  <si>
    <t>tuotot</t>
  </si>
  <si>
    <t>Pankkitili</t>
  </si>
  <si>
    <t>Kirjataan myyntivoitto</t>
  </si>
  <si>
    <t>Osakkeiden kirjanpitoarvo</t>
  </si>
  <si>
    <t>Liite 12</t>
  </si>
  <si>
    <t>Esimerkki jälleenhankintavarauksen tekemisestä ja sen käyttämisestä hankintamenon kattamiseen</t>
  </si>
  <si>
    <t>Poistamaton hankintameno kirjataan kuluksi</t>
  </si>
  <si>
    <t>jälleenhankintavarauksella</t>
  </si>
  <si>
    <t>Suunnitelma-</t>
  </si>
  <si>
    <t>Vapaaehtoisten</t>
  </si>
  <si>
    <t>Poistoero</t>
  </si>
  <si>
    <t>var. muutos</t>
  </si>
  <si>
    <t>Vakuutus-</t>
  </si>
  <si>
    <t>korvaukset</t>
  </si>
  <si>
    <t xml:space="preserve">Näitä hyllypoistoja, eli verotuksessa vähentämättömien suunnitelmapoistojen osia, on </t>
  </si>
  <si>
    <t>hyödykkeiden enimmäispoistoajat sekä koneiden ja kaluston osalta esitettyjä vuosimääriä</t>
  </si>
  <si>
    <t>tekee verolainsäädännön mukaiset enimmäispoistot, sillä oletetaan, ettei verottaja hyväksy hankintamenojen kirjaamista suoraan kuluksi.</t>
  </si>
  <si>
    <t xml:space="preserve"> Verolomakkeella esitetään tällöin tilikaudella tehtyjen suunnitelmapoistojen lisäksi ns. hyllypoistojen vähennys</t>
  </si>
  <si>
    <t>Yleisohje suunnitelman mukaisista poistoista</t>
  </si>
  <si>
    <t>xx.xx.2007</t>
  </si>
  <si>
    <t>Esimerkki pysyvien vastaavien hankintamenon määrittämisestä</t>
  </si>
  <si>
    <t>ja rakennelmat</t>
  </si>
  <si>
    <t>Kirjanpitovelvollinen on hankkinut tilikauden alussa rakennuksen, jonka hankintameno on 400 000.</t>
  </si>
  <si>
    <t>Rakennuksen hankintamenoa on katettu 200 000 varauksella.</t>
  </si>
  <si>
    <t>Kokonaispoistot (vähennyskelpoinen hankintameno * 7 %)</t>
  </si>
  <si>
    <t>Oletuksena, että kyseessä yhtenäinen ryhmä, jossa nimikkeiden poistoaika on viisi vuotta</t>
  </si>
  <si>
    <t xml:space="preserve"> - ennen tilikautta 2006 hankituista</t>
  </si>
  <si>
    <t xml:space="preserve"> - ennen tilkautta 2007 hankituista</t>
  </si>
  <si>
    <t xml:space="preserve"> - myyntitappio</t>
  </si>
  <si>
    <t>Tilikausi 1.1.2007 - 31.12.2007</t>
  </si>
  <si>
    <t>PER 31.12.2007</t>
  </si>
  <si>
    <t>Pysyvien vastaavien muutokset</t>
  </si>
  <si>
    <t>Menojäännös 1.1.2007</t>
  </si>
  <si>
    <t>Kannettava tietokone</t>
  </si>
  <si>
    <t>Menojäännös 31.12.2007 ennen suunnitelmapoistoja</t>
  </si>
  <si>
    <t>Menojäännös 31.12.2007</t>
  </si>
  <si>
    <t>Esimerkki tase-erittelyistä:  menojäännöspoistot</t>
  </si>
  <si>
    <t>-pienet kirjanpitovelvolliset</t>
  </si>
  <si>
    <t>TASE-ERITTELYT</t>
  </si>
  <si>
    <t>Tilikaudella 2005 hankitut, käytössä olevat atk-laitteet</t>
  </si>
  <si>
    <t>Tilikaudella 2006 hankitut, käytössä olevat atk-laitteet</t>
  </si>
  <si>
    <t>suunnitelman mukaiset poistot. Hankintamenoon on luettu hankinnasta ja valmistuksesta</t>
  </si>
  <si>
    <t xml:space="preserve">Hyödykkeiden hankintamenot, joiden todennäköinen taloudellinen käyttöaika on alle </t>
  </si>
  <si>
    <t>x. Pysyvien vastaavien arvostusperiaatteet</t>
  </si>
  <si>
    <t>x. Pysyvien vastaavien arvostus</t>
  </si>
  <si>
    <t>y. Suunnitelman mukaisten poistojen perusteet</t>
  </si>
  <si>
    <t>Pysyvät vastaavat on merkitty taseeseen hankintamenoonsa vähennettynä suunnitelman</t>
  </si>
  <si>
    <t>x. Pysyvät vastaavat</t>
  </si>
  <si>
    <t>Hankintamenot 1.1.2007</t>
  </si>
  <si>
    <t>Hankintamenot 31.12.2007</t>
  </si>
  <si>
    <t>Kertyneet poistot 1.1.2007</t>
  </si>
  <si>
    <t>Kertyneet poistot 31.12.2007</t>
  </si>
  <si>
    <t>Arvonalentumiset 1.1.2007</t>
  </si>
  <si>
    <t>Arvonalentumiset 31.12.2007</t>
  </si>
  <si>
    <t>Arvonkorotukset 1.1.2007</t>
  </si>
  <si>
    <t>Arvonkorotukset 31.12.2007</t>
  </si>
  <si>
    <t>Kirjanpitoarvo 31.12.2007</t>
  </si>
  <si>
    <t>kirjanpitoarvo 31.12.2007</t>
  </si>
  <si>
    <t>Suunnitelman mukaiset poistot on laskettu tasapoistoina pysyvien vastaavien</t>
  </si>
  <si>
    <r>
      <t xml:space="preserve">Seuraavat poistoajat ovat </t>
    </r>
    <r>
      <rPr>
        <u val="single"/>
        <sz val="10"/>
        <rFont val="Times New Roman"/>
        <family val="1"/>
      </rPr>
      <t>esimerkinomaisia</t>
    </r>
    <r>
      <rPr>
        <sz val="10"/>
        <rFont val="Times New Roman"/>
        <family val="1"/>
      </rPr>
      <t xml:space="preserve"> eivätkä sovellu sellaisenaan ohjeeksi </t>
    </r>
  </si>
  <si>
    <t>Tilikaudella 2008 kirjanpitovelvollinen hankkii tuotantokoneen, jonka hankintameno poistetaan suunnitelman mukaan 10 vuoden tasapoistoin.</t>
  </si>
  <si>
    <t xml:space="preserve">Kirjanpitovelvollisen pysyvät vastaavat muodostuvat tilikaudella 2007 hankituista ja käyttöönotetuista atk-laitteista, jotka poistetaan kahdessa </t>
  </si>
  <si>
    <t>Oletuksena, että kyseessä yhtenäinen ryhmä</t>
  </si>
  <si>
    <t>Myydyn auton kertyneen poistoeron purku</t>
  </si>
  <si>
    <t>Auton myynti myyntihinnoin</t>
  </si>
  <si>
    <t>Poistoeron muutos yhteensä</t>
  </si>
  <si>
    <t>syöttölaite</t>
  </si>
  <si>
    <t>valmistava laite</t>
  </si>
  <si>
    <t>kuljetin</t>
  </si>
  <si>
    <t>Koska tuotantolinjan eri osien poistoajat poikkeavat merkittävästi toisistaan, niille tulee</t>
  </si>
  <si>
    <t>laatia erilliset poistosuunnitelmat, vaikka tuotantolinja olisikin hankittu yhtenä kokonaisuutena.</t>
  </si>
  <si>
    <t>Liite 13</t>
  </si>
  <si>
    <t>yhtiön tulee arvioida, tulisiko linjalle tehdä ylimääräinen arvonalentumiskirjaus riippuen siitä,</t>
  </si>
  <si>
    <t>onko linjan poistamaton hankintameno liian korkea laitteesta saataviin tuottoihin verrattuna.</t>
  </si>
  <si>
    <t>Jäännösarvo</t>
  </si>
  <si>
    <t>Poistot/vuosi</t>
  </si>
  <si>
    <t>Lisäksi kirjanpitovelvollisen tulee erikseen arvioida, tulisiko linjan jäännösarvosta tehdä tilin-</t>
  </si>
  <si>
    <t>Liite 14</t>
  </si>
  <si>
    <t>linjan jäljellä oleva taloudellinen käyttöaika alkuperäisen poistosuunnitelman mukaan on 8 vuotta.</t>
  </si>
  <si>
    <t>Yhtiön tulee sopeuttaa poistosuunnitelmansa vastaamaan jäljellä olevaa käyttöaikaa. Lisäksi</t>
  </si>
  <si>
    <t>valmistavan laitteen alustan rakentaminen</t>
  </si>
  <si>
    <t>Hankintahetkellä määritelty taloudellinen käyttöaika</t>
  </si>
  <si>
    <t>Taseen</t>
  </si>
  <si>
    <t>poistoero</t>
  </si>
  <si>
    <t>Poistoeron</t>
  </si>
  <si>
    <t xml:space="preserve"> + arvonlisävero 22%:a</t>
  </si>
  <si>
    <t xml:space="preserve"> - alennus 5%:a</t>
  </si>
  <si>
    <t>jälkeen tuloslaskelmaan tuotoiksi systemaattisesti kyseisen hyödykkeen vaikutusaikana.</t>
  </si>
  <si>
    <t xml:space="preserve">Kirjanpitovelvollisen rakennus tuhoutuu. Seuraavalla tilikaudella hankintaa uusi rakennus, jonka hankintamenoa </t>
  </si>
  <si>
    <t>katetaan rakennuksen tuhoutumisesta saadulla vakuutuskorvauksella.</t>
  </si>
  <si>
    <t xml:space="preserve">Rakennuksen kirjanpitoarvo </t>
  </si>
  <si>
    <t>Saadusta vakuutuskorvauksesta tehdään</t>
  </si>
  <si>
    <t>jälleenhankintavaraus</t>
  </si>
  <si>
    <t>Rakennuksen hankintamenoa katetaan</t>
  </si>
  <si>
    <t>Hankintaan uusi rakennus seur. tilikaudella</t>
  </si>
  <si>
    <t>Ostettu rakennus</t>
  </si>
  <si>
    <t>Poistoaika 20 vuotta</t>
  </si>
  <si>
    <t>Kokonaispoistot (menojäännös * 7 %)</t>
  </si>
  <si>
    <t>*) poisto voidaan tehdä yksinkertaistettua menetelmää käyttäen puolelta vuodelta</t>
  </si>
  <si>
    <t>*) poistot voidaan tehdä myös koko vuodelta tai 8,5 kk:lta</t>
  </si>
  <si>
    <t>b) kuten esimerkki a, auto myyty vuonna 2007</t>
  </si>
  <si>
    <t xml:space="preserve"> *) erityisestä syystä voi olla enintään 20 vuotta</t>
  </si>
  <si>
    <t>Peruutetaan tehty arvonkorotus</t>
  </si>
  <si>
    <t xml:space="preserve">Taseeseen merkittyjen pysyvien vastaavien hyödykkeiden hankintamenosta on vähennetty </t>
  </si>
  <si>
    <t>kolme vuotta sekä pienhankinnat on kirjattu kokonaisuudessaan hankintatilikauden kuluksi.</t>
  </si>
  <si>
    <t>Yhtiö hankkii tuotantolinjan, johon kuuluu syöttölaite, valmistava laite ja kuljetin.</t>
  </si>
  <si>
    <t xml:space="preserve">Lisäksi yhtiö on itse rakentanut valmistavan laitteen vaatiman pohjarakenteen. Tehtyjä </t>
  </si>
  <si>
    <t xml:space="preserve">Laitteen alustan rakentamismenot voidaan aktivoida osaksi laitteen hankintamenoa. </t>
  </si>
  <si>
    <t>Vaihtoehtoisesti ne voidaan aktivoida osaksi rakennuksen hankintamenoa.</t>
  </si>
  <si>
    <t>työtunteja on seurattu erikseen ja nämä henkilöstömenot aktivoidaan osaksi hankintamenoa.</t>
  </si>
  <si>
    <t>Hankintameno hankintahetkellä 1.1.2000</t>
  </si>
  <si>
    <t>Tarkastettu jäljellä oleva taloudellinen käyttöaika vuosina 31.12.2007</t>
  </si>
  <si>
    <t xml:space="preserve">Yhtiö valmistaa ympäristösuojelukäyttöön suodattimia. Ympäristölainsäädäntöön on tullut muutos, </t>
  </si>
  <si>
    <t>jonka johdosta käyttöaika pienenee kahteen vuoteen. Lakimuutoksen tullessa voimaan</t>
  </si>
  <si>
    <t>Jäännösarvo lain voimaantulohetkellä 31.12.2007</t>
  </si>
  <si>
    <t>Jäännösarvo 31.12.2008</t>
  </si>
  <si>
    <t>Poistoaikaa korjataan siten heti, kun lakimuutos on tullut voimaan tai sen voimaantulo on ilmeistä.</t>
  </si>
  <si>
    <t xml:space="preserve">päätökseen 1.1.-31.12.2007 ylimääräinen arvonalentumiskirjaus. Arvio perustuu linjasta </t>
  </si>
  <si>
    <t>jatkossa saataviin tuottoihin.</t>
  </si>
  <si>
    <t>Esimerkki suunnitelman mukaisten poistoaikojen määrittämisestä</t>
  </si>
  <si>
    <t xml:space="preserve">Jäljellä oleva taloudellinen käyttöaika vuosina alkuperäisen </t>
  </si>
  <si>
    <t>poistosuunnitelman mukaan 31.12.2007</t>
  </si>
  <si>
    <t>Poistot/vuosi jäljellä olevana taloudellisena käyttöaikana (420.000/2)</t>
  </si>
  <si>
    <t>Veroilmoituslomakkeella tulee lisäksi huomioida myydyn auton myyntivoittoa koskeva epäsuora tuloutus.</t>
  </si>
  <si>
    <t>Liite 15</t>
  </si>
  <si>
    <t xml:space="preserve">Yhtiö A Oy jakautuu kahdeksi uudeksi yhtiöksi B Oy ja C Oy. </t>
  </si>
  <si>
    <t>Ennen jakautumista A Oy:n tase (jakautuva yhtiö) oli seuraava:</t>
  </si>
  <si>
    <t>A Oy (jakautuva yhtiö)</t>
  </si>
  <si>
    <t>TA</t>
  </si>
  <si>
    <t>SE</t>
  </si>
  <si>
    <t>(euro)</t>
  </si>
  <si>
    <t>Maa- ja vesialueet</t>
  </si>
  <si>
    <t>Osakepääoma</t>
  </si>
  <si>
    <t>Rakennukset ja rakennelmat</t>
  </si>
  <si>
    <t>Ylikurssirahasto</t>
  </si>
  <si>
    <t>Sijoitetun vapaan oman pääoman rahasto</t>
  </si>
  <si>
    <t>Vaihto-omaisuus</t>
  </si>
  <si>
    <t>Voittovarat</t>
  </si>
  <si>
    <t>Saamiset</t>
  </si>
  <si>
    <t>Rahat ja pankkisaamiset</t>
  </si>
  <si>
    <t>Vieras pääoma</t>
  </si>
  <si>
    <t>Yhtiön jakautumissuunnitelman mukaisesti pysyvät vastaavat jakautuvat uusien</t>
  </si>
  <si>
    <t>B Oy</t>
  </si>
  <si>
    <t>C Oy</t>
  </si>
  <si>
    <t>Rakennnukset ja rakennelmat</t>
  </si>
  <si>
    <t>prosentti-osuus</t>
  </si>
  <si>
    <t>poistoeron jako</t>
  </si>
  <si>
    <t>Koneet ja kalusto B Oy</t>
  </si>
  <si>
    <t>(20%*100 000)</t>
  </si>
  <si>
    <t>Koneet ja kalusto C Oy</t>
  </si>
  <si>
    <t>(80%*100 000)</t>
  </si>
  <si>
    <t>Jakautumisen jälkeen yhtiöiden taseet ovat seuraavanlaiset:</t>
  </si>
  <si>
    <t>B Oy (vastaanottava yhtiö)</t>
  </si>
  <si>
    <t>C Oy (vastaanottava yhtiö)</t>
  </si>
  <si>
    <t>Aineettomat oikeudet</t>
  </si>
  <si>
    <t>samoin kuin aineettoman omaisuuden osalta poistoeroa seurataan hyödykekohtaisesti, jolloin</t>
  </si>
  <si>
    <t>tällaista teoreettista jakotapaa ei tarvita.</t>
  </si>
  <si>
    <t>siirtyy kokonaisuudessaan B Oy:lle</t>
  </si>
  <si>
    <t>mukaisten poistojen jälkeisten menojäännösarvojen suhteessa. Rakennusten ja rakennelmien</t>
  </si>
  <si>
    <t>Poistoeron jakautuminen pysyvien vastaavien ryhmien välillä on seuraava:</t>
  </si>
  <si>
    <t>Koneisiin ja kalustoon liittyvää poistoeroa ei ole seurattu hyödykekohtaisesti, joten se jaetaan</t>
  </si>
  <si>
    <t>jakautuville yhtiöille suunnitelman mukaisten poistojen jälkeisten hankintamenojen suhteessa.</t>
  </si>
  <si>
    <t>Esimerkki poistoeron käsittelystä jakautumisessa</t>
  </si>
  <si>
    <t>jäännösarvopoisto-% **)</t>
  </si>
  <si>
    <t>Mikäli myydyn auton EVL-menojäännöstä ei olisi seurattu hyödykekohtaisesti, poistoeron purku</t>
  </si>
  <si>
    <t>voitaisiin tehdä myös suunnitelman mukaisten menojäännösten suhteessa (ks. tarkemmin esimerkki</t>
  </si>
  <si>
    <t>jakautumisesta, liite 15).</t>
  </si>
  <si>
    <t>Auton EVL-menojäännös</t>
  </si>
  <si>
    <t>Myyntitappion epäsuora tuloutus</t>
  </si>
  <si>
    <t>Suunnitelmapoistoja pienempiä kokonaispoistoja ei voida kirjata, sillä taseeseen ei voida palauttaa</t>
  </si>
  <si>
    <t xml:space="preserve">suunnitelmapoistoina vähennettyä hankintamenoa. Tällöin syntyy ns. hyllypoistoa  25.000 euroa, </t>
  </si>
  <si>
    <t>kun verolomakkeella verotuksessa vähennettävänä poistona esitetään EVL:n sallimat enimmäispoistot.</t>
  </si>
  <si>
    <t xml:space="preserve">kirjata poistoeron muutosta (suunnitelman ylittäviä poistoja), sillä verotuksessa poistamaton menojäännös on </t>
  </si>
  <si>
    <t>suurempi kuin suunnitelmapoistoin vähennettyjen hankintamenojen määrä:</t>
  </si>
  <si>
    <t xml:space="preserve">    Kirjanpitoarvo</t>
  </si>
  <si>
    <t xml:space="preserve">    Verotuksessa poistamaton menojäännös</t>
  </si>
  <si>
    <t xml:space="preserve"> (56.250 - 12.188 = 44.063). Tämä ei vaikuta kirjanpidon kirjauksiin.</t>
  </si>
  <si>
    <t>Arvonalentumiset</t>
  </si>
  <si>
    <t>pysyvien vastaa-</t>
  </si>
  <si>
    <t>vien hyödykkeistä</t>
  </si>
  <si>
    <t>-Poistoeroa puretaan myyntitappion verran EVL:n mukaisen epäsuoran tuloutuksen tekemiseksi</t>
  </si>
  <si>
    <t xml:space="preserve"> verotuksessa. Tuolloin epäsuoraa tuloutusta ei tarvitse huomioida erikseen veroilmoituslomakkeella.</t>
  </si>
  <si>
    <t>yhtiöiden välillä kirjanpitoarvoin seuraavasti:</t>
  </si>
  <si>
    <t>ks. alla</t>
  </si>
  <si>
    <t>menojäännös suunnitelman mukaisten poistojen jälkeen</t>
  </si>
  <si>
    <t xml:space="preserve">Elinkeinoverolain menojäännöspoistomenetelmää sovellettaessa hyödykkeen myyntihinta </t>
  </si>
  <si>
    <t xml:space="preserve">vähennetään koko ryhmän menojäännöksestä (poistopohjasta) ja myyntivoitto tuloutetaan ja </t>
  </si>
  <si>
    <t>-tappio vähennetään elinkeinotuloverolain tarkoittamalla tavalla epäsuorasti.</t>
  </si>
  <si>
    <r>
      <t xml:space="preserve">1) Poistopohja </t>
    </r>
    <r>
      <rPr>
        <sz val="10"/>
        <rFont val="Times New Roman"/>
        <family val="1"/>
      </rPr>
      <t>merkittäessä avustus alun perin erillisenä eränä taseeseen ja sen</t>
    </r>
  </si>
  <si>
    <r>
      <t xml:space="preserve">2) Poistopohja </t>
    </r>
    <r>
      <rPr>
        <sz val="10"/>
        <rFont val="Times New Roman"/>
        <family val="1"/>
      </rPr>
      <t>kirjattaessa saatu avustus hankintamenon vähennykseksi.</t>
    </r>
  </si>
  <si>
    <t>Tasapoistomenetelmä, ei erillistä hyödykekohtaista pysyvien vastaavien kirjanpitoa</t>
  </si>
  <si>
    <t>a) Esimerkki suunnitelmapoistoista kirjanpidossa tasapoistomenetelmällä</t>
  </si>
  <si>
    <t>b) Esimerkki EVL-poistojen laskennasta irtaimen omaisuuden osalta</t>
  </si>
  <si>
    <t xml:space="preserve">     Sama esimerkki kuin esimerkki b), mutta myyty tilikauden 2007 aikana lisäksi auto.</t>
  </si>
  <si>
    <t>Menojäännöspoistomenetelmä, ei erillistä hyödykekohtaista pysyvien vastaavien kirjanpitoa</t>
  </si>
  <si>
    <t xml:space="preserve">   Sama esimerkki kuin esimerkki b), mutta myyty tilikauden 2007 aikana lisäksi auto.</t>
  </si>
  <si>
    <t xml:space="preserve">   Sama esimerkki kuin esimerkki a), mutta tehdään EVL:n sallimat enimmäispoistot. </t>
  </si>
  <si>
    <t>Laitteen osien taloudelliset käyttöajat määritellään hankintahetkellä seuraavasti:</t>
  </si>
  <si>
    <t>c) Esimerkki EVL-poistojen laskennasta irtaimen omaisuuden osalta</t>
  </si>
  <si>
    <t xml:space="preserve">   Kirjanpitovelvollisella on hyödykekohtainen pysyvien vastaavien kirjanpito. </t>
  </si>
  <si>
    <t/>
  </si>
  <si>
    <t xml:space="preserve">   Kirjanpitovelvollinen seuraa poistoeroa hyödykekohtaisesti myös irtaimen omaisuuden osalta.</t>
  </si>
  <si>
    <t>d) Esimerkki EVL-poistojen laskennasta irtaimen omaisuuden osalta</t>
  </si>
  <si>
    <t xml:space="preserve">     Kirjanpitovelvollisella on hyödykekohtainen pysyvien vastaavien kirjanpito suunnitelmapoistojen osalta.</t>
  </si>
  <si>
    <t xml:space="preserve">     Kirjanpitovelvollisella ei ole hyödykekohtaista poistoeron seurantaa irtaimen omaisuuden osalta.</t>
  </si>
  <si>
    <t xml:space="preserve">    Erotus</t>
  </si>
  <si>
    <t>Esimerkki poistoeron tuloutumisesta, kun hankintamenoa on katettu varauksella</t>
  </si>
  <si>
    <t>Esimerkki poistoajan tarkistamisesta</t>
  </si>
  <si>
    <t>Kirjanpitovelvollinen myy X Oy:n osakkeet hintaan 280.000 €.</t>
  </si>
  <si>
    <t>Osakkeiden poistamaton hankintameno on 140.000 €. Osakkeiden</t>
  </si>
  <si>
    <t>kirjanpitoarvoa on korotettu 60.000 eurolla.</t>
  </si>
  <si>
    <t>Koneiden ja kaluston suunnitelmapoistot on laskettu 25 %:n menojäännöspoistomentelmää käyttäen.</t>
  </si>
  <si>
    <t>Poistoero jaetaan siten jakautuvien yhtiöiden kesken irtaimen omaisuuden osalta suunnitelman-</t>
  </si>
  <si>
    <t>Liite 16</t>
  </si>
  <si>
    <t>Esimerkki jakautumisesta käyvin arvoin</t>
  </si>
  <si>
    <t>Voittovarat / muu oma pääoma</t>
  </si>
  <si>
    <t>Poistoero siirtyy vastaanottaville yhtiöille seuraavasti:</t>
  </si>
  <si>
    <t>siirtyy kokonaisuudessaan C Oy:lle</t>
  </si>
  <si>
    <t>Verotuksellisesti arvot eivät muutu, jolloin myös poistoero siirretään omaisuuserien</t>
  </si>
  <si>
    <t>APUTASE</t>
  </si>
  <si>
    <t>Käypiin arvoihin kirjattujen hyödykkeiden rahasto</t>
  </si>
  <si>
    <t>taseet ovat seuraavat:</t>
  </si>
  <si>
    <t>Varojen jako toteutetaan jakautumissuunnitelman mukaisesti. Jakautumisen jälkeen yhtiöiden</t>
  </si>
  <si>
    <t>Vastaanottava yhtiö käyttää käypiä arvoja. Seuraava tase on esitetty ainoastaan</t>
  </si>
  <si>
    <t xml:space="preserve">esimerkin selventämiseksi. Todellisuudessa käypiä arvoja käytetään vain </t>
  </si>
  <si>
    <t>vastaanottavissa yhtiöissä.</t>
  </si>
  <si>
    <t xml:space="preserve">jaon mukaisesti jakautuville yhtiöille. Maa- ja vesialueiden sekä rakennusten ja rakennelmien käypään </t>
  </si>
  <si>
    <t>vapaan oman pääoman rahastoon.</t>
  </si>
  <si>
    <t>arvoon arvostamisesta muodostunut arvonnousu on kirjattu vastaanottavassa yhtiössä sijoitetun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</si>
</sst>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d\.mm\.yy"/>
    <numFmt numFmtId="173" formatCode="0.0%"/>
    <numFmt numFmtId="174" formatCode="0.000"/>
    <numFmt numFmtId="175" formatCode="#,##0.0"/>
    <numFmt numFmtId="176" formatCode="0.0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Futura Book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Geneva"/>
      <family val="0"/>
    </font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6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16" fontId="5" fillId="0" borderId="0" xfId="0" applyNumberFormat="1" applyFont="1" applyAlignment="1" quotePrefix="1">
      <alignment/>
    </xf>
    <xf numFmtId="17" fontId="5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lef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172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172" fontId="5" fillId="0" borderId="3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173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172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3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3" fontId="5" fillId="0" borderId="14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14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right"/>
    </xf>
    <xf numFmtId="3" fontId="5" fillId="0" borderId="15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4" fontId="5" fillId="0" borderId="0" xfId="0" applyNumberFormat="1" applyFont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3" fontId="5" fillId="0" borderId="12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3" xfId="16" applyNumberFormat="1" applyFont="1" applyBorder="1" applyAlignment="1">
      <alignment vertical="top"/>
      <protection/>
    </xf>
    <xf numFmtId="0" fontId="5" fillId="0" borderId="0" xfId="16" applyFont="1">
      <alignment/>
      <protection/>
    </xf>
    <xf numFmtId="3" fontId="5" fillId="0" borderId="0" xfId="16" applyNumberFormat="1" applyFont="1">
      <alignment/>
      <protection/>
    </xf>
    <xf numFmtId="9" fontId="5" fillId="0" borderId="0" xfId="16" applyNumberFormat="1" applyFont="1">
      <alignment/>
      <protection/>
    </xf>
    <xf numFmtId="0" fontId="6" fillId="0" borderId="0" xfId="16" applyFont="1">
      <alignment/>
      <protection/>
    </xf>
    <xf numFmtId="3" fontId="6" fillId="0" borderId="3" xfId="16" applyNumberFormat="1" applyFont="1" applyBorder="1" applyAlignment="1">
      <alignment horizontal="right" vertical="top"/>
      <protection/>
    </xf>
    <xf numFmtId="3" fontId="6" fillId="0" borderId="3" xfId="16" applyNumberFormat="1" applyFont="1" applyBorder="1" applyAlignment="1">
      <alignment vertical="top"/>
      <protection/>
    </xf>
    <xf numFmtId="3" fontId="5" fillId="0" borderId="3" xfId="16" applyNumberFormat="1" applyFont="1" applyBorder="1" applyAlignment="1" quotePrefix="1">
      <alignment vertical="top"/>
      <protection/>
    </xf>
    <xf numFmtId="3" fontId="5" fillId="0" borderId="0" xfId="16" applyNumberFormat="1" applyFont="1" applyBorder="1" applyAlignment="1">
      <alignment vertical="top"/>
      <protection/>
    </xf>
    <xf numFmtId="3" fontId="11" fillId="0" borderId="6" xfId="16" applyNumberFormat="1" applyFont="1" applyBorder="1" applyAlignment="1">
      <alignment horizontal="center" vertical="top"/>
      <protection/>
    </xf>
    <xf numFmtId="3" fontId="11" fillId="0" borderId="0" xfId="16" applyNumberFormat="1" applyFont="1" applyAlignment="1">
      <alignment horizontal="center" vertical="top"/>
      <protection/>
    </xf>
    <xf numFmtId="3" fontId="5" fillId="0" borderId="0" xfId="16" applyNumberFormat="1" applyFont="1" applyBorder="1" applyAlignment="1" quotePrefix="1">
      <alignment vertical="top"/>
      <protection/>
    </xf>
    <xf numFmtId="3" fontId="5" fillId="0" borderId="0" xfId="16" applyNumberFormat="1" applyFont="1" applyAlignment="1">
      <alignment vertical="top"/>
      <protection/>
    </xf>
    <xf numFmtId="3" fontId="5" fillId="0" borderId="1" xfId="16" applyNumberFormat="1" applyFont="1" applyBorder="1" applyAlignment="1">
      <alignment vertical="top"/>
      <protection/>
    </xf>
    <xf numFmtId="3" fontId="5" fillId="0" borderId="0" xfId="16" applyNumberFormat="1" applyFont="1" applyAlignment="1">
      <alignment vertical="top" wrapText="1"/>
      <protection/>
    </xf>
    <xf numFmtId="3" fontId="6" fillId="0" borderId="9" xfId="16" applyNumberFormat="1" applyFont="1" applyBorder="1" applyAlignment="1">
      <alignment vertical="top"/>
      <protection/>
    </xf>
    <xf numFmtId="3" fontId="6" fillId="0" borderId="0" xfId="16" applyNumberFormat="1" applyFont="1" applyBorder="1" applyAlignment="1">
      <alignment vertical="top"/>
      <protection/>
    </xf>
    <xf numFmtId="0" fontId="5" fillId="0" borderId="3" xfId="16" applyFont="1" applyBorder="1" applyAlignment="1">
      <alignment horizontal="center"/>
      <protection/>
    </xf>
    <xf numFmtId="3" fontId="5" fillId="0" borderId="0" xfId="16" applyNumberFormat="1" applyFont="1" applyBorder="1" applyAlignment="1">
      <alignment horizontal="right"/>
      <protection/>
    </xf>
    <xf numFmtId="0" fontId="5" fillId="0" borderId="0" xfId="16" applyFont="1" applyBorder="1" applyAlignment="1">
      <alignment horizontal="center"/>
      <protection/>
    </xf>
    <xf numFmtId="3" fontId="5" fillId="0" borderId="3" xfId="16" applyNumberFormat="1" applyFont="1" applyBorder="1" applyAlignment="1">
      <alignment horizontal="center" wrapText="1"/>
      <protection/>
    </xf>
    <xf numFmtId="0" fontId="5" fillId="0" borderId="3" xfId="16" applyFont="1" applyBorder="1" applyAlignment="1">
      <alignment horizontal="center" wrapText="1"/>
      <protection/>
    </xf>
    <xf numFmtId="3" fontId="6" fillId="0" borderId="0" xfId="16" applyNumberFormat="1" applyFont="1" applyAlignment="1">
      <alignment vertical="top"/>
      <protection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172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4" fontId="5" fillId="0" borderId="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Alignment="1">
      <alignment horizontal="right"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4" fontId="14" fillId="0" borderId="0" xfId="0" applyNumberFormat="1" applyFont="1" applyAlignment="1">
      <alignment horizontal="left"/>
    </xf>
    <xf numFmtId="0" fontId="5" fillId="0" borderId="0" xfId="16" applyFont="1" applyAlignment="1">
      <alignment wrapText="1"/>
      <protection/>
    </xf>
    <xf numFmtId="0" fontId="15" fillId="0" borderId="0" xfId="16" applyFont="1">
      <alignment/>
      <protection/>
    </xf>
    <xf numFmtId="0" fontId="9" fillId="0" borderId="0" xfId="16">
      <alignment/>
      <protection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6" applyFont="1" applyAlignment="1">
      <alignment wrapText="1"/>
      <protection/>
    </xf>
    <xf numFmtId="3" fontId="6" fillId="0" borderId="3" xfId="16" applyNumberFormat="1" applyFont="1" applyBorder="1" applyAlignment="1">
      <alignment horizontal="center" vertical="top"/>
      <protection/>
    </xf>
    <xf numFmtId="0" fontId="0" fillId="0" borderId="3" xfId="0" applyBorder="1" applyAlignment="1">
      <alignment horizontal="center" vertical="top"/>
    </xf>
    <xf numFmtId="0" fontId="0" fillId="0" borderId="0" xfId="0" applyAlignment="1">
      <alignment/>
    </xf>
  </cellXfs>
  <cellStyles count="7">
    <cellStyle name="Normal" xfId="0"/>
    <cellStyle name="Comma" xfId="15"/>
    <cellStyle name="Normal_Esimerkki - jakautuminen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7"/>
  <sheetViews>
    <sheetView showGridLines="0" workbookViewId="0" topLeftCell="A1">
      <selection activeCell="E4" sqref="E4"/>
    </sheetView>
  </sheetViews>
  <sheetFormatPr defaultColWidth="9.00390625" defaultRowHeight="12.75"/>
  <cols>
    <col min="1" max="1" width="4.25390625" style="4" customWidth="1"/>
    <col min="2" max="2" width="11.00390625" style="4" customWidth="1"/>
    <col min="3" max="3" width="21.625" style="4" customWidth="1"/>
    <col min="4" max="4" width="10.625" style="4" customWidth="1"/>
    <col min="5" max="5" width="10.75390625" style="4" customWidth="1"/>
    <col min="6" max="6" width="12.875" style="4" customWidth="1"/>
    <col min="7" max="7" width="12.625" style="4" customWidth="1"/>
    <col min="8" max="16384" width="10.75390625" style="4" customWidth="1"/>
  </cols>
  <sheetData>
    <row r="2" ht="15.75">
      <c r="B2" s="143" t="s">
        <v>244</v>
      </c>
    </row>
    <row r="3" ht="15.75">
      <c r="B3" s="144" t="s">
        <v>245</v>
      </c>
    </row>
    <row r="4" ht="13.5" customHeight="1"/>
    <row r="5" ht="13.5" customHeight="1"/>
    <row r="6" ht="12.75">
      <c r="B6" s="10" t="s">
        <v>218</v>
      </c>
    </row>
    <row r="8" ht="12.75">
      <c r="B8" s="10" t="s">
        <v>246</v>
      </c>
    </row>
    <row r="10" ht="12.75">
      <c r="B10" s="10" t="s">
        <v>1</v>
      </c>
    </row>
    <row r="12" spans="2:4" ht="12.75">
      <c r="B12" s="4" t="s">
        <v>2</v>
      </c>
      <c r="D12" s="13">
        <v>2100</v>
      </c>
    </row>
    <row r="13" spans="2:4" ht="12.75">
      <c r="B13" s="4" t="s">
        <v>3</v>
      </c>
      <c r="D13" s="13">
        <v>420</v>
      </c>
    </row>
    <row r="14" spans="2:4" ht="12.75">
      <c r="B14" s="4" t="s">
        <v>4</v>
      </c>
      <c r="D14" s="13">
        <f>SUM(D12:D13)</f>
        <v>2520</v>
      </c>
    </row>
    <row r="15" spans="2:4" ht="12.75">
      <c r="B15" s="4" t="s">
        <v>312</v>
      </c>
      <c r="D15" s="13">
        <f>-5%*D14</f>
        <v>-126</v>
      </c>
    </row>
    <row r="16" spans="2:5" ht="13.5" thickBot="1">
      <c r="B16" s="4" t="s">
        <v>5</v>
      </c>
      <c r="D16" s="130">
        <f>SUM(D15+D14)</f>
        <v>2394</v>
      </c>
      <c r="E16" s="10" t="s">
        <v>187</v>
      </c>
    </row>
    <row r="17" spans="4:5" ht="4.5" customHeight="1" thickTop="1">
      <c r="D17" s="131"/>
      <c r="E17" s="10"/>
    </row>
    <row r="18" spans="2:5" ht="12.75">
      <c r="B18" s="4" t="s">
        <v>311</v>
      </c>
      <c r="D18" s="13">
        <f>0.22*D16</f>
        <v>526.68</v>
      </c>
      <c r="E18" s="4" t="s">
        <v>104</v>
      </c>
    </row>
    <row r="19" spans="2:4" ht="12.75">
      <c r="B19" s="4" t="s">
        <v>6</v>
      </c>
      <c r="D19" s="13">
        <f>SUM(D16:D18)</f>
        <v>2920.68</v>
      </c>
    </row>
    <row r="20" ht="12.75">
      <c r="D20" s="13"/>
    </row>
    <row r="21" ht="12.75">
      <c r="D21" s="13"/>
    </row>
    <row r="22" spans="2:4" ht="12.75">
      <c r="B22" s="10" t="s">
        <v>7</v>
      </c>
      <c r="D22" s="13"/>
    </row>
    <row r="23" ht="12.75">
      <c r="D23" s="13"/>
    </row>
    <row r="24" spans="2:7" ht="12.75">
      <c r="B24" s="4" t="s">
        <v>8</v>
      </c>
      <c r="D24" s="13">
        <v>134000</v>
      </c>
      <c r="E24" s="4" t="s">
        <v>9</v>
      </c>
      <c r="G24" s="132"/>
    </row>
    <row r="25" spans="2:7" ht="12.75">
      <c r="B25" s="4" t="s">
        <v>10</v>
      </c>
      <c r="D25" s="13">
        <f>2.5%*D24</f>
        <v>3350</v>
      </c>
      <c r="E25" s="4" t="s">
        <v>9</v>
      </c>
      <c r="G25" s="132"/>
    </row>
    <row r="26" spans="2:7" ht="12.75">
      <c r="B26" s="4" t="s">
        <v>11</v>
      </c>
      <c r="D26" s="13">
        <f>0.03*D24</f>
        <v>4020</v>
      </c>
      <c r="G26" s="132"/>
    </row>
    <row r="27" spans="2:7" ht="12.75">
      <c r="B27" s="4" t="s">
        <v>12</v>
      </c>
      <c r="D27" s="13">
        <v>8200</v>
      </c>
      <c r="E27" s="4" t="str">
        <f>E25</f>
        <v>(arvonlisäveroton)</v>
      </c>
      <c r="G27" s="132"/>
    </row>
    <row r="28" spans="2:7" ht="12.75">
      <c r="B28" s="4" t="s">
        <v>13</v>
      </c>
      <c r="D28" s="13">
        <f>-2%*D24</f>
        <v>-2680</v>
      </c>
      <c r="E28" s="4" t="str">
        <f>E25</f>
        <v>(arvonlisäveroton)</v>
      </c>
      <c r="G28" s="132"/>
    </row>
    <row r="29" spans="2:5" ht="12.75">
      <c r="B29" s="4" t="s">
        <v>14</v>
      </c>
      <c r="D29" s="130">
        <f>SUM(D24:D28)</f>
        <v>146890</v>
      </c>
      <c r="E29" s="10" t="s">
        <v>105</v>
      </c>
    </row>
    <row r="30" spans="2:4" ht="12.75">
      <c r="B30" s="4" t="s">
        <v>15</v>
      </c>
      <c r="D30" s="13">
        <v>-70000</v>
      </c>
    </row>
    <row r="31" spans="4:5" ht="13.5" thickBot="1">
      <c r="D31" s="130">
        <f>D29+D30</f>
        <v>76890</v>
      </c>
      <c r="E31" s="10" t="s">
        <v>106</v>
      </c>
    </row>
    <row r="32" spans="4:5" ht="13.5" thickTop="1">
      <c r="D32" s="133"/>
      <c r="E32" s="10"/>
    </row>
    <row r="34" ht="12.75">
      <c r="B34" s="10" t="s">
        <v>414</v>
      </c>
    </row>
    <row r="35" ht="12.75">
      <c r="B35" s="4" t="s">
        <v>313</v>
      </c>
    </row>
    <row r="37" ht="12.75">
      <c r="B37" s="10" t="s">
        <v>415</v>
      </c>
    </row>
  </sheetData>
  <printOptions/>
  <pageMargins left="0.7480314960629921" right="0.7480314960629921" top="0.984251968503937" bottom="0.984251968503937" header="0.5118110236220472" footer="0.511811023622047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Y45"/>
  <sheetViews>
    <sheetView workbookViewId="0" topLeftCell="A1">
      <selection activeCell="F25" sqref="F25"/>
    </sheetView>
  </sheetViews>
  <sheetFormatPr defaultColWidth="9.00390625" defaultRowHeight="12.75"/>
  <cols>
    <col min="1" max="1" width="12.625" style="4" customWidth="1"/>
    <col min="2" max="2" width="9.125" style="4" customWidth="1"/>
    <col min="3" max="3" width="8.375" style="4" customWidth="1"/>
    <col min="4" max="4" width="9.00390625" style="4" customWidth="1"/>
    <col min="5" max="5" width="7.375" style="4" customWidth="1"/>
    <col min="6" max="6" width="5.00390625" style="4" customWidth="1"/>
    <col min="7" max="8" width="7.875" style="4" customWidth="1"/>
    <col min="9" max="9" width="3.25390625" style="4" customWidth="1"/>
    <col min="10" max="11" width="7.875" style="4" customWidth="1"/>
    <col min="12" max="12" width="4.125" style="4" customWidth="1"/>
    <col min="13" max="14" width="6.75390625" style="4" customWidth="1"/>
    <col min="15" max="15" width="2.375" style="4" customWidth="1"/>
    <col min="16" max="16" width="7.375" style="4" customWidth="1"/>
    <col min="17" max="17" width="6.75390625" style="4" customWidth="1"/>
    <col min="18" max="18" width="2.25390625" style="4" customWidth="1"/>
    <col min="19" max="19" width="6.75390625" style="4" customWidth="1"/>
    <col min="20" max="20" width="7.625" style="4" customWidth="1"/>
    <col min="21" max="21" width="2.125" style="4" customWidth="1"/>
    <col min="22" max="22" width="7.375" style="4" customWidth="1"/>
    <col min="23" max="23" width="7.75390625" style="4" customWidth="1"/>
    <col min="24" max="24" width="1.75390625" style="4" customWidth="1"/>
    <col min="25" max="25" width="6.75390625" style="4" customWidth="1"/>
    <col min="26" max="26" width="7.375" style="4" customWidth="1"/>
    <col min="27" max="16384" width="9.125" style="4" customWidth="1"/>
  </cols>
  <sheetData>
    <row r="2" ht="12.75">
      <c r="A2" s="10" t="s">
        <v>169</v>
      </c>
    </row>
    <row r="3" ht="12.75">
      <c r="A3" s="10"/>
    </row>
    <row r="4" ht="12.75">
      <c r="A4" s="10" t="s">
        <v>432</v>
      </c>
    </row>
    <row r="7" ht="12.75">
      <c r="A7" s="4" t="s">
        <v>248</v>
      </c>
    </row>
    <row r="8" ht="12.75">
      <c r="A8" s="4" t="s">
        <v>249</v>
      </c>
    </row>
    <row r="10" spans="7:22" ht="12.75">
      <c r="G10" s="148" t="s">
        <v>28</v>
      </c>
      <c r="H10" s="148"/>
      <c r="J10" s="148" t="s">
        <v>45</v>
      </c>
      <c r="K10" s="148"/>
      <c r="V10" s="4" t="s">
        <v>193</v>
      </c>
    </row>
    <row r="11" spans="7:26" ht="12.75">
      <c r="G11" s="149" t="s">
        <v>322</v>
      </c>
      <c r="H11" s="149"/>
      <c r="J11" s="149" t="s">
        <v>322</v>
      </c>
      <c r="K11" s="149"/>
      <c r="M11" s="21" t="s">
        <v>19</v>
      </c>
      <c r="N11" s="21"/>
      <c r="P11" s="21" t="s">
        <v>188</v>
      </c>
      <c r="Q11" s="21"/>
      <c r="S11" s="21" t="s">
        <v>178</v>
      </c>
      <c r="T11" s="21"/>
      <c r="V11" s="21" t="s">
        <v>194</v>
      </c>
      <c r="W11" s="21"/>
      <c r="Y11" s="21" t="s">
        <v>162</v>
      </c>
      <c r="Z11" s="21"/>
    </row>
    <row r="12" spans="1:26" ht="12.75">
      <c r="A12" s="22"/>
      <c r="B12" s="69"/>
      <c r="C12" s="69"/>
      <c r="D12" s="69"/>
      <c r="E12" s="70"/>
      <c r="G12" s="70"/>
      <c r="H12" s="33"/>
      <c r="J12" s="70"/>
      <c r="K12" s="33"/>
      <c r="M12" s="70"/>
      <c r="N12" s="33"/>
      <c r="P12" s="70"/>
      <c r="Q12" s="33"/>
      <c r="S12" s="70"/>
      <c r="T12" s="33"/>
      <c r="V12" s="70"/>
      <c r="W12" s="25">
        <v>200000</v>
      </c>
      <c r="Y12" s="70"/>
      <c r="Z12" s="33"/>
    </row>
    <row r="13" spans="1:51" ht="12.75">
      <c r="A13" s="27" t="s">
        <v>321</v>
      </c>
      <c r="B13" s="33"/>
      <c r="C13" s="33"/>
      <c r="D13" s="71">
        <v>37256</v>
      </c>
      <c r="E13" s="5">
        <v>400000</v>
      </c>
      <c r="G13" s="5">
        <v>400000</v>
      </c>
      <c r="H13" s="26"/>
      <c r="I13" s="25"/>
      <c r="J13" s="5"/>
      <c r="K13" s="26"/>
      <c r="L13" s="25"/>
      <c r="M13" s="5"/>
      <c r="N13" s="26"/>
      <c r="O13" s="25"/>
      <c r="P13" s="5"/>
      <c r="Q13" s="26"/>
      <c r="R13" s="25"/>
      <c r="S13" s="5"/>
      <c r="T13" s="26"/>
      <c r="U13" s="25"/>
      <c r="V13" s="5"/>
      <c r="W13" s="25"/>
      <c r="X13" s="25"/>
      <c r="Y13" s="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4" spans="1:51" ht="12.75">
      <c r="A14" s="27" t="s">
        <v>161</v>
      </c>
      <c r="B14" s="33"/>
      <c r="C14" s="33"/>
      <c r="D14" s="71"/>
      <c r="E14" s="5"/>
      <c r="G14" s="5"/>
      <c r="H14" s="26"/>
      <c r="I14" s="25"/>
      <c r="J14" s="5"/>
      <c r="K14" s="26"/>
      <c r="L14" s="25"/>
      <c r="M14" s="5"/>
      <c r="N14" s="26"/>
      <c r="O14" s="25"/>
      <c r="P14" s="5">
        <v>200000</v>
      </c>
      <c r="Q14" s="26"/>
      <c r="R14" s="25"/>
      <c r="S14" s="5"/>
      <c r="T14" s="26">
        <v>200000</v>
      </c>
      <c r="U14" s="25"/>
      <c r="V14" s="5">
        <v>200000</v>
      </c>
      <c r="W14" s="25"/>
      <c r="X14" s="25"/>
      <c r="Y14" s="5"/>
      <c r="Z14" s="25">
        <v>200000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</row>
    <row r="15" spans="1:51" ht="12.75">
      <c r="A15" s="27"/>
      <c r="B15" s="33"/>
      <c r="C15" s="33"/>
      <c r="D15" s="71"/>
      <c r="E15" s="5"/>
      <c r="G15" s="5"/>
      <c r="H15" s="26"/>
      <c r="I15" s="25"/>
      <c r="J15" s="5"/>
      <c r="K15" s="26"/>
      <c r="L15" s="25"/>
      <c r="M15" s="5"/>
      <c r="N15" s="26"/>
      <c r="O15" s="25"/>
      <c r="P15" s="5"/>
      <c r="Q15" s="26"/>
      <c r="R15" s="25"/>
      <c r="S15" s="5"/>
      <c r="T15" s="26"/>
      <c r="U15" s="25"/>
      <c r="V15" s="5"/>
      <c r="W15" s="25"/>
      <c r="X15" s="25"/>
      <c r="Y15" s="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</row>
    <row r="16" spans="1:51" ht="12.75">
      <c r="A16" s="27" t="s">
        <v>19</v>
      </c>
      <c r="B16" s="33"/>
      <c r="C16" s="33"/>
      <c r="D16" s="71">
        <v>37620</v>
      </c>
      <c r="E16" s="37">
        <f>-E13/20</f>
        <v>-20000</v>
      </c>
      <c r="G16" s="5"/>
      <c r="H16" s="26"/>
      <c r="I16" s="25"/>
      <c r="J16" s="5"/>
      <c r="K16" s="36">
        <f>-E16</f>
        <v>20000</v>
      </c>
      <c r="L16" s="8"/>
      <c r="M16" s="5">
        <f>+K16</f>
        <v>20000</v>
      </c>
      <c r="N16" s="26"/>
      <c r="O16" s="25"/>
      <c r="P16" s="32"/>
      <c r="S16" s="32"/>
      <c r="V16" s="32"/>
      <c r="Y16" s="32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</row>
    <row r="17" spans="1:51" ht="12.75">
      <c r="A17" s="27" t="s">
        <v>173</v>
      </c>
      <c r="B17" s="33"/>
      <c r="C17" s="33"/>
      <c r="D17" s="71">
        <v>37620</v>
      </c>
      <c r="E17" s="5">
        <f>+E13+E16</f>
        <v>380000</v>
      </c>
      <c r="G17" s="5"/>
      <c r="H17" s="36"/>
      <c r="I17" s="8"/>
      <c r="J17" s="5"/>
      <c r="M17" s="32"/>
      <c r="N17" s="36"/>
      <c r="O17" s="8"/>
      <c r="P17" s="5"/>
      <c r="S17" s="32"/>
      <c r="T17" s="36"/>
      <c r="U17" s="8"/>
      <c r="V17" s="5"/>
      <c r="W17" s="8"/>
      <c r="X17" s="8"/>
      <c r="Y17" s="5"/>
      <c r="Z17" s="8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</row>
    <row r="18" spans="1:51" ht="12.75">
      <c r="A18" s="27"/>
      <c r="B18" s="33"/>
      <c r="C18" s="33"/>
      <c r="D18" s="71"/>
      <c r="E18" s="5"/>
      <c r="G18" s="5"/>
      <c r="H18" s="36"/>
      <c r="I18" s="8"/>
      <c r="J18" s="5"/>
      <c r="M18" s="32"/>
      <c r="N18" s="36"/>
      <c r="O18" s="8"/>
      <c r="P18" s="5"/>
      <c r="S18" s="32"/>
      <c r="T18" s="36"/>
      <c r="U18" s="8"/>
      <c r="V18" s="5"/>
      <c r="W18" s="8"/>
      <c r="X18" s="8"/>
      <c r="Y18" s="5"/>
      <c r="Z18" s="8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</row>
    <row r="19" spans="1:51" ht="12.75">
      <c r="A19" s="27" t="s">
        <v>188</v>
      </c>
      <c r="B19" s="33"/>
      <c r="C19" s="33"/>
      <c r="D19" s="71">
        <v>37620</v>
      </c>
      <c r="E19" s="5">
        <f>-G35</f>
        <v>5999.999999999998</v>
      </c>
      <c r="F19" s="4" t="s">
        <v>50</v>
      </c>
      <c r="G19" s="5"/>
      <c r="H19" s="36"/>
      <c r="I19" s="8"/>
      <c r="J19" s="5"/>
      <c r="K19" s="36"/>
      <c r="L19" s="8"/>
      <c r="M19" s="5"/>
      <c r="N19" s="36"/>
      <c r="O19" s="8"/>
      <c r="P19" s="5"/>
      <c r="Q19" s="36">
        <f>-G35</f>
        <v>5999.999999999998</v>
      </c>
      <c r="R19" s="8"/>
      <c r="S19" s="5">
        <f>-G35</f>
        <v>5999.999999999998</v>
      </c>
      <c r="T19" s="36"/>
      <c r="U19" s="8"/>
      <c r="V19" s="38"/>
      <c r="W19" s="8"/>
      <c r="X19" s="8"/>
      <c r="Y19" s="5"/>
      <c r="Z19" s="8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</row>
    <row r="20" spans="1:51" ht="13.5" thickBot="1">
      <c r="A20" s="27"/>
      <c r="B20" s="33"/>
      <c r="C20" s="33"/>
      <c r="D20" s="33"/>
      <c r="E20" s="32"/>
      <c r="G20" s="54">
        <f>SUM(G13:G17)</f>
        <v>400000</v>
      </c>
      <c r="H20" s="55"/>
      <c r="I20" s="56"/>
      <c r="J20" s="54"/>
      <c r="K20" s="55">
        <f>SUM(K16)</f>
        <v>20000</v>
      </c>
      <c r="L20" s="56"/>
      <c r="M20" s="54">
        <f>SUM(M16)</f>
        <v>20000</v>
      </c>
      <c r="N20" s="55"/>
      <c r="O20" s="56"/>
      <c r="P20" s="54">
        <f>+P14-Q19</f>
        <v>194000</v>
      </c>
      <c r="Q20" s="55"/>
      <c r="R20" s="56"/>
      <c r="S20" s="54"/>
      <c r="T20" s="55">
        <f>+T14-S19</f>
        <v>194000</v>
      </c>
      <c r="U20" s="56"/>
      <c r="V20" s="54"/>
      <c r="W20" s="56"/>
      <c r="X20" s="56"/>
      <c r="Y20" s="54"/>
      <c r="Z20" s="56">
        <f>SUM(Z14:Z17)</f>
        <v>200000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</row>
    <row r="21" spans="1:51" ht="13.5" thickTop="1">
      <c r="A21" s="27"/>
      <c r="B21" s="33"/>
      <c r="C21" s="33"/>
      <c r="D21" s="33"/>
      <c r="E21" s="5"/>
      <c r="G21" s="5"/>
      <c r="H21" s="36"/>
      <c r="I21" s="8"/>
      <c r="J21" s="5"/>
      <c r="K21" s="36"/>
      <c r="L21" s="8"/>
      <c r="M21" s="5"/>
      <c r="N21" s="36"/>
      <c r="O21" s="8"/>
      <c r="P21" s="5"/>
      <c r="Q21" s="36"/>
      <c r="R21" s="8"/>
      <c r="S21" s="5"/>
      <c r="T21" s="36"/>
      <c r="U21" s="8"/>
      <c r="V21" s="8"/>
      <c r="W21" s="8"/>
      <c r="X21" s="8"/>
      <c r="Y21" s="8"/>
      <c r="Z21" s="8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</row>
    <row r="22" spans="1:51" ht="12.75">
      <c r="A22" s="27" t="s">
        <v>173</v>
      </c>
      <c r="B22" s="33"/>
      <c r="C22" s="33"/>
      <c r="D22" s="71">
        <v>37621</v>
      </c>
      <c r="E22" s="5">
        <f>+E17</f>
        <v>380000</v>
      </c>
      <c r="G22" s="5">
        <v>400000</v>
      </c>
      <c r="H22" s="26"/>
      <c r="I22" s="25"/>
      <c r="J22" s="5"/>
      <c r="K22" s="26">
        <v>20000</v>
      </c>
      <c r="L22" s="25"/>
      <c r="M22" s="5"/>
      <c r="N22" s="26"/>
      <c r="O22" s="25"/>
      <c r="P22" s="5"/>
      <c r="Q22" s="26"/>
      <c r="R22" s="25"/>
      <c r="S22" s="5"/>
      <c r="T22" s="26">
        <v>194000</v>
      </c>
      <c r="U22" s="25"/>
      <c r="V22" s="8"/>
      <c r="W22" s="8"/>
      <c r="X22" s="8"/>
      <c r="Y22" s="8"/>
      <c r="Z22" s="8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</row>
    <row r="23" spans="1:51" ht="12.75">
      <c r="A23" s="27"/>
      <c r="B23" s="33"/>
      <c r="C23" s="33"/>
      <c r="D23" s="72"/>
      <c r="E23" s="5"/>
      <c r="G23" s="5"/>
      <c r="H23" s="26"/>
      <c r="I23" s="25"/>
      <c r="J23" s="5"/>
      <c r="K23" s="26"/>
      <c r="L23" s="25"/>
      <c r="M23" s="5"/>
      <c r="N23" s="26"/>
      <c r="O23" s="25"/>
      <c r="P23" s="5"/>
      <c r="Q23" s="26"/>
      <c r="R23" s="25"/>
      <c r="S23" s="5"/>
      <c r="T23" s="26"/>
      <c r="U23" s="25"/>
      <c r="V23" s="8"/>
      <c r="W23" s="8"/>
      <c r="X23" s="8"/>
      <c r="Y23" s="8"/>
      <c r="Z23" s="8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</row>
    <row r="24" spans="1:51" ht="12.75">
      <c r="A24" s="27" t="s">
        <v>163</v>
      </c>
      <c r="B24" s="33"/>
      <c r="C24" s="33"/>
      <c r="D24" s="71">
        <v>37985</v>
      </c>
      <c r="E24" s="37">
        <f>E16</f>
        <v>-20000</v>
      </c>
      <c r="G24" s="5"/>
      <c r="H24" s="8"/>
      <c r="I24" s="8"/>
      <c r="J24" s="5"/>
      <c r="K24" s="36">
        <f>-E24</f>
        <v>20000</v>
      </c>
      <c r="L24" s="8"/>
      <c r="M24" s="5">
        <f>-E24</f>
        <v>20000</v>
      </c>
      <c r="N24" s="8"/>
      <c r="O24" s="8"/>
      <c r="P24" s="5"/>
      <c r="S24" s="32"/>
      <c r="T24" s="8"/>
      <c r="U24" s="25"/>
      <c r="V24" s="8"/>
      <c r="W24" s="8"/>
      <c r="X24" s="8"/>
      <c r="Y24" s="8"/>
      <c r="Z24" s="8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</row>
    <row r="25" spans="1:51" ht="12.75">
      <c r="A25" s="27" t="s">
        <v>173</v>
      </c>
      <c r="B25" s="33"/>
      <c r="C25" s="33"/>
      <c r="D25" s="71">
        <v>37985</v>
      </c>
      <c r="E25" s="5">
        <f>SUM(E22:E24)</f>
        <v>360000</v>
      </c>
      <c r="G25" s="5"/>
      <c r="H25" s="8"/>
      <c r="I25" s="8"/>
      <c r="J25" s="5"/>
      <c r="K25" s="36"/>
      <c r="L25" s="8"/>
      <c r="M25" s="5"/>
      <c r="N25" s="8"/>
      <c r="O25" s="8"/>
      <c r="P25" s="5"/>
      <c r="Q25" s="8"/>
      <c r="R25" s="8"/>
      <c r="S25" s="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</row>
    <row r="26" spans="1:51" ht="12.75">
      <c r="A26" s="27"/>
      <c r="B26" s="33"/>
      <c r="C26" s="33"/>
      <c r="D26" s="72"/>
      <c r="E26" s="5"/>
      <c r="G26" s="5"/>
      <c r="H26" s="8"/>
      <c r="I26" s="8"/>
      <c r="J26" s="5"/>
      <c r="K26" s="36"/>
      <c r="L26" s="8"/>
      <c r="M26" s="5"/>
      <c r="N26" s="8"/>
      <c r="O26" s="8"/>
      <c r="P26" s="5"/>
      <c r="Q26" s="8"/>
      <c r="R26" s="8"/>
      <c r="S26" s="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</row>
    <row r="27" spans="1:51" ht="12.75">
      <c r="A27" s="27" t="s">
        <v>188</v>
      </c>
      <c r="B27" s="33"/>
      <c r="C27" s="33"/>
      <c r="D27" s="71">
        <v>37985</v>
      </c>
      <c r="E27" s="5">
        <f>-G41</f>
        <v>6979.999999999998</v>
      </c>
      <c r="F27" s="4" t="s">
        <v>52</v>
      </c>
      <c r="G27" s="38"/>
      <c r="H27" s="53"/>
      <c r="I27" s="53"/>
      <c r="J27" s="38"/>
      <c r="K27" s="52"/>
      <c r="L27" s="53"/>
      <c r="M27" s="38"/>
      <c r="N27" s="53"/>
      <c r="O27" s="53"/>
      <c r="P27" s="38"/>
      <c r="Q27" s="53">
        <f>E27</f>
        <v>6979.999999999998</v>
      </c>
      <c r="R27" s="53"/>
      <c r="S27" s="38">
        <f>E27</f>
        <v>6979.999999999998</v>
      </c>
      <c r="T27" s="53"/>
      <c r="U27" s="25"/>
      <c r="V27" s="8"/>
      <c r="W27" s="8"/>
      <c r="X27" s="8"/>
      <c r="Y27" s="8"/>
      <c r="Z27" s="8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</row>
    <row r="28" spans="1:51" ht="13.5" thickBot="1">
      <c r="A28" s="29"/>
      <c r="B28" s="21"/>
      <c r="C28" s="21"/>
      <c r="D28" s="21"/>
      <c r="E28" s="38"/>
      <c r="G28" s="73">
        <v>200000</v>
      </c>
      <c r="H28" s="60"/>
      <c r="I28" s="60"/>
      <c r="J28" s="73"/>
      <c r="K28" s="61">
        <f>SUM(K22:K25)</f>
        <v>40000</v>
      </c>
      <c r="L28" s="60"/>
      <c r="M28" s="73">
        <f>SUM(M24)</f>
        <v>20000</v>
      </c>
      <c r="N28" s="60"/>
      <c r="O28" s="60"/>
      <c r="P28" s="73"/>
      <c r="Q28" s="60">
        <f>SUM(Q27)</f>
        <v>6979.999999999998</v>
      </c>
      <c r="R28" s="60"/>
      <c r="S28" s="73"/>
      <c r="T28" s="61">
        <f>+T22-S27</f>
        <v>187020</v>
      </c>
      <c r="U28" s="8"/>
      <c r="V28" s="8"/>
      <c r="W28" s="8"/>
      <c r="X28" s="8"/>
      <c r="Y28" s="8"/>
      <c r="Z28" s="8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</row>
    <row r="29" spans="7:51" ht="13.5" thickTop="1"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</row>
    <row r="30" spans="7:51" ht="12.75"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5"/>
      <c r="V30" s="8"/>
      <c r="W30" s="8"/>
      <c r="X30" s="8"/>
      <c r="Y30" s="8"/>
      <c r="Z30" s="8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</row>
    <row r="31" spans="1:51" ht="12.75">
      <c r="A31" s="4" t="s">
        <v>196</v>
      </c>
      <c r="G31" s="25">
        <v>200000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25"/>
      <c r="V31" s="8"/>
      <c r="W31" s="8"/>
      <c r="X31" s="8"/>
      <c r="Y31" s="8"/>
      <c r="Z31" s="8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</row>
    <row r="32" spans="7:51" ht="9" customHeight="1">
      <c r="G32" s="2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5"/>
      <c r="V32" s="8"/>
      <c r="W32" s="8"/>
      <c r="X32" s="8"/>
      <c r="Y32" s="8"/>
      <c r="Z32" s="8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</row>
    <row r="33" spans="1:51" ht="12.75">
      <c r="A33" s="4" t="s">
        <v>250</v>
      </c>
      <c r="G33" s="25">
        <f>+G31*0.07</f>
        <v>14000.000000000002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5"/>
      <c r="V33" s="8"/>
      <c r="W33" s="8"/>
      <c r="X33" s="8"/>
      <c r="Y33" s="8"/>
      <c r="Z33" s="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</row>
    <row r="34" spans="1:7" ht="12.75">
      <c r="A34" s="4" t="s">
        <v>19</v>
      </c>
      <c r="G34" s="50">
        <f>E16</f>
        <v>-20000</v>
      </c>
    </row>
    <row r="35" spans="1:7" ht="12.75">
      <c r="A35" s="4" t="s">
        <v>188</v>
      </c>
      <c r="G35" s="25">
        <f>SUM(G33:G34)</f>
        <v>-5999.999999999998</v>
      </c>
    </row>
    <row r="36" ht="12.75">
      <c r="G36" s="25"/>
    </row>
    <row r="37" spans="1:7" ht="12.75">
      <c r="A37" s="4" t="s">
        <v>195</v>
      </c>
      <c r="G37" s="25">
        <f>+G31-G33</f>
        <v>186000</v>
      </c>
    </row>
    <row r="38" ht="9" customHeight="1">
      <c r="G38" s="25"/>
    </row>
    <row r="39" spans="1:7" ht="12.75">
      <c r="A39" s="4" t="s">
        <v>323</v>
      </c>
      <c r="G39" s="25">
        <f>+G37*0.07</f>
        <v>13020.000000000002</v>
      </c>
    </row>
    <row r="40" spans="1:7" ht="12.75">
      <c r="A40" s="4" t="s">
        <v>19</v>
      </c>
      <c r="G40" s="50">
        <f>E24</f>
        <v>-20000</v>
      </c>
    </row>
    <row r="41" spans="1:7" ht="12.75">
      <c r="A41" s="4" t="s">
        <v>188</v>
      </c>
      <c r="G41" s="25">
        <f>SUM(G39:G40)</f>
        <v>-6979.999999999998</v>
      </c>
    </row>
    <row r="45" ht="12.75">
      <c r="E45" s="58"/>
    </row>
  </sheetData>
  <mergeCells count="4">
    <mergeCell ref="G11:H11"/>
    <mergeCell ref="G10:H10"/>
    <mergeCell ref="J10:K10"/>
    <mergeCell ref="J11:K11"/>
  </mergeCells>
  <printOptions/>
  <pageMargins left="0.55" right="0.5" top="1" bottom="1" header="0.5" footer="0.5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32"/>
  <sheetViews>
    <sheetView workbookViewId="0" topLeftCell="A1">
      <selection activeCell="H27" sqref="H27"/>
    </sheetView>
  </sheetViews>
  <sheetFormatPr defaultColWidth="9.00390625" defaultRowHeight="12.75"/>
  <cols>
    <col min="1" max="6" width="9.125" style="4" customWidth="1"/>
    <col min="7" max="7" width="8.75390625" style="4" customWidth="1"/>
    <col min="8" max="16384" width="9.125" style="4" customWidth="1"/>
  </cols>
  <sheetData>
    <row r="3" ht="12.75">
      <c r="A3" s="62" t="s">
        <v>164</v>
      </c>
    </row>
    <row r="5" ht="12.75">
      <c r="A5" s="10" t="s">
        <v>433</v>
      </c>
    </row>
    <row r="7" ht="12.75">
      <c r="A7" s="4" t="s">
        <v>338</v>
      </c>
    </row>
    <row r="8" ht="12.75">
      <c r="A8" s="4" t="s">
        <v>339</v>
      </c>
    </row>
    <row r="9" ht="12.75">
      <c r="A9" s="4" t="s">
        <v>304</v>
      </c>
    </row>
    <row r="11" ht="12.75">
      <c r="A11" s="4" t="s">
        <v>305</v>
      </c>
    </row>
    <row r="12" ht="12.75">
      <c r="A12" s="4" t="s">
        <v>298</v>
      </c>
    </row>
    <row r="13" ht="12.75">
      <c r="A13" s="4" t="s">
        <v>299</v>
      </c>
    </row>
    <row r="15" spans="1:8" ht="12.75">
      <c r="A15" s="4" t="s">
        <v>336</v>
      </c>
      <c r="H15" s="25">
        <v>900000</v>
      </c>
    </row>
    <row r="16" spans="1:8" ht="12.75">
      <c r="A16" s="4" t="s">
        <v>300</v>
      </c>
      <c r="H16" s="25">
        <v>0</v>
      </c>
    </row>
    <row r="17" spans="1:8" ht="12.75">
      <c r="A17" s="4" t="s">
        <v>307</v>
      </c>
      <c r="H17" s="25">
        <v>15</v>
      </c>
    </row>
    <row r="18" spans="1:8" ht="12.75">
      <c r="A18" s="4" t="s">
        <v>301</v>
      </c>
      <c r="H18" s="25">
        <f>H15/H17</f>
        <v>60000</v>
      </c>
    </row>
    <row r="19" ht="12.75">
      <c r="H19" s="25"/>
    </row>
    <row r="20" spans="1:9" ht="12.75">
      <c r="A20" s="4" t="s">
        <v>340</v>
      </c>
      <c r="H20" s="25">
        <f>H15-H18*8</f>
        <v>420000</v>
      </c>
      <c r="I20" s="25"/>
    </row>
    <row r="21" ht="12.75">
      <c r="A21" s="4" t="s">
        <v>346</v>
      </c>
    </row>
    <row r="22" spans="1:8" ht="12.75">
      <c r="A22" s="4" t="s">
        <v>347</v>
      </c>
      <c r="H22" s="25">
        <v>7</v>
      </c>
    </row>
    <row r="23" spans="1:8" ht="12.75">
      <c r="A23" s="4" t="s">
        <v>337</v>
      </c>
      <c r="H23" s="4">
        <v>2</v>
      </c>
    </row>
    <row r="25" spans="1:8" ht="12.75">
      <c r="A25" s="4" t="s">
        <v>348</v>
      </c>
      <c r="H25" s="50">
        <f>420000/2</f>
        <v>210000</v>
      </c>
    </row>
    <row r="26" spans="1:8" ht="12.75">
      <c r="A26" s="4" t="s">
        <v>341</v>
      </c>
      <c r="H26" s="25">
        <f>H20-H25</f>
        <v>210000</v>
      </c>
    </row>
    <row r="28" ht="12.75">
      <c r="A28" s="4" t="s">
        <v>342</v>
      </c>
    </row>
    <row r="30" ht="12.75">
      <c r="A30" s="4" t="s">
        <v>302</v>
      </c>
    </row>
    <row r="31" ht="12.75">
      <c r="A31" s="4" t="s">
        <v>343</v>
      </c>
    </row>
    <row r="32" ht="12.75">
      <c r="A32" s="4" t="s">
        <v>344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41"/>
  <sheetViews>
    <sheetView workbookViewId="0" topLeftCell="A1">
      <selection activeCell="L23" sqref="L23"/>
    </sheetView>
  </sheetViews>
  <sheetFormatPr defaultColWidth="9.00390625" defaultRowHeight="12.75"/>
  <cols>
    <col min="3" max="3" width="7.375" style="0" customWidth="1"/>
    <col min="4" max="4" width="1.75390625" style="0" customWidth="1"/>
    <col min="5" max="5" width="7.25390625" style="0" customWidth="1"/>
    <col min="6" max="6" width="7.75390625" style="0" customWidth="1"/>
    <col min="7" max="7" width="2.00390625" style="0" customWidth="1"/>
    <col min="8" max="8" width="8.125" style="0" customWidth="1"/>
    <col min="9" max="9" width="7.875" style="0" customWidth="1"/>
    <col min="10" max="10" width="0.875" style="0" customWidth="1"/>
    <col min="11" max="11" width="7.875" style="0" customWidth="1"/>
    <col min="12" max="12" width="8.625" style="0" customWidth="1"/>
    <col min="13" max="13" width="1.00390625" style="0" customWidth="1"/>
    <col min="14" max="14" width="8.75390625" style="0" customWidth="1"/>
    <col min="15" max="15" width="8.125" style="0" customWidth="1"/>
  </cols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10" t="s">
        <v>172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10" t="s">
        <v>220</v>
      </c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 t="s">
        <v>434</v>
      </c>
      <c r="B6" s="4"/>
      <c r="C6" s="4"/>
      <c r="D6" s="4"/>
      <c r="E6" s="4"/>
      <c r="F6" s="4"/>
      <c r="G6" s="4"/>
      <c r="H6" s="4"/>
      <c r="I6" s="4"/>
      <c r="J6" s="4"/>
    </row>
    <row r="7" spans="1:13" ht="12.75">
      <c r="A7" s="4" t="s">
        <v>435</v>
      </c>
      <c r="B7" s="4"/>
      <c r="C7" s="4"/>
      <c r="D7" s="4"/>
      <c r="E7" s="4"/>
      <c r="F7" s="4"/>
      <c r="G7" s="4"/>
      <c r="H7" s="4"/>
      <c r="I7" s="4"/>
      <c r="J7" s="4"/>
      <c r="M7" s="7"/>
    </row>
    <row r="8" spans="1:10" ht="12.75">
      <c r="A8" s="4" t="s">
        <v>436</v>
      </c>
      <c r="B8" s="4"/>
      <c r="C8" s="4"/>
      <c r="D8" s="4"/>
      <c r="E8" s="4"/>
      <c r="F8" s="4"/>
      <c r="G8" s="4"/>
      <c r="H8" s="4"/>
      <c r="I8" s="4"/>
      <c r="J8" s="4"/>
    </row>
    <row r="9" spans="1:10" ht="12.75">
      <c r="A9" s="4"/>
      <c r="B9" s="4"/>
      <c r="C9" s="4"/>
      <c r="D9" s="4"/>
      <c r="E9" s="4"/>
      <c r="F9" s="4"/>
      <c r="G9" s="4"/>
      <c r="H9" s="4"/>
      <c r="I9" s="4"/>
      <c r="J9" s="4"/>
    </row>
    <row r="10" spans="5:15" ht="12.75">
      <c r="E10" s="148" t="s">
        <v>222</v>
      </c>
      <c r="F10" s="148"/>
      <c r="G10" s="83"/>
      <c r="H10" s="148" t="s">
        <v>223</v>
      </c>
      <c r="I10" s="148"/>
      <c r="J10" s="83"/>
      <c r="K10" s="148" t="s">
        <v>225</v>
      </c>
      <c r="L10" s="148"/>
      <c r="M10" s="84"/>
      <c r="N10" s="84"/>
      <c r="O10" s="83"/>
    </row>
    <row r="11" spans="1:15" ht="12.75">
      <c r="A11" s="4"/>
      <c r="B11" s="4"/>
      <c r="C11" s="4"/>
      <c r="D11" s="4"/>
      <c r="E11" s="149" t="s">
        <v>221</v>
      </c>
      <c r="F11" s="149"/>
      <c r="G11" s="83"/>
      <c r="H11" s="149" t="s">
        <v>224</v>
      </c>
      <c r="I11" s="149"/>
      <c r="J11" s="83"/>
      <c r="K11" s="149" t="s">
        <v>226</v>
      </c>
      <c r="L11" s="149"/>
      <c r="M11" s="84"/>
      <c r="N11" s="149" t="s">
        <v>227</v>
      </c>
      <c r="O11" s="149"/>
    </row>
    <row r="12" spans="1:15" ht="12.75">
      <c r="A12" s="80"/>
      <c r="B12" s="81"/>
      <c r="C12" s="77"/>
      <c r="E12" s="77"/>
      <c r="H12" s="77"/>
      <c r="K12" s="77"/>
      <c r="N12" s="77"/>
      <c r="O12" s="51"/>
    </row>
    <row r="13" spans="1:15" ht="12.75">
      <c r="A13" s="27" t="s">
        <v>229</v>
      </c>
      <c r="B13" s="33"/>
      <c r="C13" s="32"/>
      <c r="D13" s="4"/>
      <c r="E13" s="5">
        <v>200000</v>
      </c>
      <c r="F13" s="8"/>
      <c r="G13" s="78"/>
      <c r="H13" s="5"/>
      <c r="I13" s="8">
        <v>60000</v>
      </c>
      <c r="J13" s="78"/>
      <c r="K13" s="5"/>
      <c r="L13" s="8"/>
      <c r="M13" s="78"/>
      <c r="N13" s="79"/>
      <c r="O13" s="51"/>
    </row>
    <row r="14" spans="1:15" ht="12.75">
      <c r="A14" s="27" t="s">
        <v>328</v>
      </c>
      <c r="B14" s="33"/>
      <c r="C14" s="32"/>
      <c r="D14" s="4"/>
      <c r="E14" s="5"/>
      <c r="F14" s="25">
        <v>60000</v>
      </c>
      <c r="G14" s="51"/>
      <c r="H14" s="5">
        <v>60000</v>
      </c>
      <c r="I14" s="25"/>
      <c r="J14" s="51"/>
      <c r="K14" s="5"/>
      <c r="L14" s="25"/>
      <c r="M14" s="78"/>
      <c r="N14" s="79"/>
      <c r="O14" s="51"/>
    </row>
    <row r="15" spans="1:15" ht="12.75">
      <c r="A15" s="27" t="s">
        <v>228</v>
      </c>
      <c r="B15" s="33"/>
      <c r="C15" s="32"/>
      <c r="D15" s="4"/>
      <c r="E15" s="5"/>
      <c r="F15" s="25">
        <v>140000</v>
      </c>
      <c r="G15" s="51"/>
      <c r="H15" s="5"/>
      <c r="I15" s="25"/>
      <c r="J15" s="51"/>
      <c r="K15" s="5"/>
      <c r="L15" s="25">
        <v>140000</v>
      </c>
      <c r="M15" s="51"/>
      <c r="N15" s="5">
        <v>280000</v>
      </c>
      <c r="O15" s="51"/>
    </row>
    <row r="16" spans="1:14" ht="12.75">
      <c r="A16" s="29"/>
      <c r="B16" s="21"/>
      <c r="C16" s="82"/>
      <c r="D16" s="4"/>
      <c r="E16" s="32"/>
      <c r="F16" s="4"/>
      <c r="H16" s="32"/>
      <c r="I16" s="4"/>
      <c r="K16" s="32"/>
      <c r="L16" s="4"/>
      <c r="N16" s="49"/>
    </row>
    <row r="17" spans="1:10" ht="12.7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2.7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2.7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2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2.7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2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2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2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2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2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</sheetData>
  <mergeCells count="7">
    <mergeCell ref="E10:F10"/>
    <mergeCell ref="E11:F11"/>
    <mergeCell ref="N11:O11"/>
    <mergeCell ref="K11:L11"/>
    <mergeCell ref="K10:L10"/>
    <mergeCell ref="H10:I10"/>
    <mergeCell ref="H11:I1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37"/>
  <sheetViews>
    <sheetView workbookViewId="0" topLeftCell="A1">
      <selection activeCell="I24" sqref="I24"/>
    </sheetView>
  </sheetViews>
  <sheetFormatPr defaultColWidth="9.00390625" defaultRowHeight="12.75"/>
  <cols>
    <col min="1" max="1" width="2.75390625" style="0" customWidth="1"/>
    <col min="2" max="2" width="4.625" style="0" customWidth="1"/>
    <col min="5" max="5" width="9.25390625" style="0" customWidth="1"/>
    <col min="6" max="6" width="5.375" style="0" customWidth="1"/>
    <col min="8" max="8" width="6.625" style="0" customWidth="1"/>
    <col min="9" max="9" width="9.625" style="0" customWidth="1"/>
  </cols>
  <sheetData>
    <row r="1" spans="1:18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16" t="s">
        <v>160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>
      <c r="A4" s="4"/>
      <c r="B4" s="16" t="s">
        <v>63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>
      <c r="A6" s="4"/>
      <c r="B6" s="4" t="s">
        <v>285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4"/>
      <c r="B7" s="4" t="s">
        <v>153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4"/>
      <c r="B8" s="4" t="s">
        <v>184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4"/>
      <c r="B9" s="4" t="s">
        <v>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/>
      <c r="B10" s="4" t="s">
        <v>98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>
      <c r="A12" s="4"/>
      <c r="B12" s="4" t="s">
        <v>100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>
      <c r="A13" s="4"/>
      <c r="B13" s="4" t="s">
        <v>99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>
      <c r="A14" s="4"/>
      <c r="B14" s="4" t="s">
        <v>185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>
      <c r="A15" s="4"/>
      <c r="B15" s="4" t="s">
        <v>241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>
      <c r="A16" s="4"/>
      <c r="B16" s="4" t="s">
        <v>101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>
      <c r="A18" s="4"/>
      <c r="B18" s="4" t="s">
        <v>64</v>
      </c>
      <c r="C18" s="4"/>
      <c r="D18" s="4"/>
      <c r="E18" s="4"/>
      <c r="F18" s="4"/>
      <c r="G18" s="4"/>
      <c r="H18" s="4" t="s">
        <v>95</v>
      </c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>
      <c r="A19" s="4"/>
      <c r="B19" s="4"/>
      <c r="C19" s="4"/>
      <c r="D19" s="4"/>
      <c r="E19" s="4"/>
      <c r="F19" s="4"/>
      <c r="G19" s="4"/>
      <c r="H19" s="4" t="s">
        <v>96</v>
      </c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/>
      <c r="B20" s="4" t="s">
        <v>65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>
      <c r="A21" s="4"/>
      <c r="B21" s="4" t="s">
        <v>66</v>
      </c>
      <c r="C21" s="4"/>
      <c r="D21" s="4"/>
      <c r="E21" s="4"/>
      <c r="F21" s="18" t="s">
        <v>94</v>
      </c>
      <c r="G21" s="4" t="s">
        <v>69</v>
      </c>
      <c r="H21" s="4">
        <v>5</v>
      </c>
      <c r="I21" s="4" t="s">
        <v>69</v>
      </c>
      <c r="J21" s="4" t="s">
        <v>50</v>
      </c>
      <c r="K21" s="4"/>
      <c r="L21" s="4"/>
      <c r="M21" s="4"/>
      <c r="N21" s="4"/>
      <c r="O21" s="4"/>
      <c r="P21" s="4"/>
      <c r="Q21" s="4"/>
      <c r="R21" s="4"/>
    </row>
    <row r="22" spans="1:18" ht="12.75">
      <c r="A22" s="4"/>
      <c r="B22" s="4" t="s">
        <v>67</v>
      </c>
      <c r="C22" s="4"/>
      <c r="D22" s="4"/>
      <c r="E22" s="4"/>
      <c r="F22" s="19" t="s">
        <v>92</v>
      </c>
      <c r="G22" s="4" t="s">
        <v>69</v>
      </c>
      <c r="H22" s="4">
        <v>5</v>
      </c>
      <c r="I22" s="4" t="s">
        <v>69</v>
      </c>
      <c r="J22" s="4" t="s">
        <v>50</v>
      </c>
      <c r="K22" s="4"/>
      <c r="L22" s="4"/>
      <c r="M22" s="4"/>
      <c r="N22" s="4"/>
      <c r="O22" s="4"/>
      <c r="P22" s="4"/>
      <c r="Q22" s="4"/>
      <c r="R22" s="4"/>
    </row>
    <row r="23" spans="1:18" ht="12.75">
      <c r="A23" s="4"/>
      <c r="B23" s="4" t="s">
        <v>68</v>
      </c>
      <c r="C23" s="4"/>
      <c r="D23" s="4"/>
      <c r="E23" s="4"/>
      <c r="F23" s="18" t="s">
        <v>94</v>
      </c>
      <c r="G23" s="4" t="s">
        <v>69</v>
      </c>
      <c r="H23" s="4">
        <v>5</v>
      </c>
      <c r="I23" s="4" t="s">
        <v>69</v>
      </c>
      <c r="J23" s="4" t="s">
        <v>50</v>
      </c>
      <c r="K23" s="4"/>
      <c r="L23" s="4"/>
      <c r="M23" s="4"/>
      <c r="N23" s="4"/>
      <c r="O23" s="4"/>
      <c r="P23" s="4"/>
      <c r="Q23" s="4"/>
      <c r="R23" s="4"/>
    </row>
    <row r="24" spans="1:18" ht="12.75">
      <c r="A24" s="4"/>
      <c r="B24" s="4" t="s">
        <v>186</v>
      </c>
      <c r="C24" s="4"/>
      <c r="D24" s="4"/>
      <c r="E24" s="4"/>
      <c r="F24" s="18" t="s">
        <v>94</v>
      </c>
      <c r="G24" s="4" t="s">
        <v>69</v>
      </c>
      <c r="H24" s="4">
        <v>5</v>
      </c>
      <c r="I24" s="4" t="s">
        <v>69</v>
      </c>
      <c r="J24" s="4" t="s">
        <v>50</v>
      </c>
      <c r="K24" s="4"/>
      <c r="L24" s="4"/>
      <c r="M24" s="4"/>
      <c r="N24" s="4"/>
      <c r="O24" s="4"/>
      <c r="P24" s="4"/>
      <c r="Q24" s="4"/>
      <c r="R24" s="4"/>
    </row>
    <row r="25" spans="1:18" ht="12.75">
      <c r="A25" s="4"/>
      <c r="B25" s="4" t="s">
        <v>70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4"/>
      <c r="B26" s="4"/>
      <c r="C26" s="4"/>
      <c r="D26" s="4"/>
      <c r="E26" s="4"/>
      <c r="F26" s="4"/>
      <c r="G26" s="4"/>
      <c r="H26" s="4" t="s">
        <v>155</v>
      </c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4"/>
      <c r="B27" s="4" t="s">
        <v>71</v>
      </c>
      <c r="C27" s="4"/>
      <c r="D27" s="4"/>
      <c r="E27" s="4"/>
      <c r="F27" s="4"/>
      <c r="G27" s="4"/>
      <c r="H27" s="4" t="s">
        <v>389</v>
      </c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4"/>
      <c r="B28" s="4" t="s">
        <v>72</v>
      </c>
      <c r="C28" s="4"/>
      <c r="D28" s="4"/>
      <c r="E28" s="4"/>
      <c r="F28" s="4" t="s">
        <v>74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4"/>
      <c r="B29" s="4" t="s">
        <v>73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4" t="s">
        <v>75</v>
      </c>
      <c r="D30" s="4"/>
      <c r="E30" s="4"/>
      <c r="F30" s="17" t="s">
        <v>78</v>
      </c>
      <c r="G30" s="4" t="s">
        <v>69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 t="s">
        <v>76</v>
      </c>
      <c r="D31" s="4"/>
      <c r="E31" s="4"/>
      <c r="F31" s="17" t="s">
        <v>79</v>
      </c>
      <c r="G31" s="4" t="s">
        <v>69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 t="s">
        <v>77</v>
      </c>
      <c r="D32" s="4"/>
      <c r="E32" s="4"/>
      <c r="F32" s="17" t="s">
        <v>80</v>
      </c>
      <c r="G32" s="4" t="s">
        <v>69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 t="s">
        <v>81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 t="s">
        <v>82</v>
      </c>
      <c r="D34" s="4"/>
      <c r="E34" s="4"/>
      <c r="F34" s="17" t="s">
        <v>89</v>
      </c>
      <c r="G34" s="4" t="s">
        <v>69</v>
      </c>
      <c r="H34" s="4"/>
      <c r="I34" s="4" t="s">
        <v>150</v>
      </c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 t="s">
        <v>83</v>
      </c>
      <c r="D35" s="4"/>
      <c r="E35" s="4"/>
      <c r="F35" s="17" t="s">
        <v>90</v>
      </c>
      <c r="G35" s="4" t="s">
        <v>69</v>
      </c>
      <c r="H35" s="4"/>
      <c r="I35" s="4" t="s">
        <v>151</v>
      </c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 t="s">
        <v>84</v>
      </c>
      <c r="D36" s="4"/>
      <c r="E36" s="4"/>
      <c r="F36" s="17" t="s">
        <v>91</v>
      </c>
      <c r="G36" s="4" t="s">
        <v>69</v>
      </c>
      <c r="H36" s="4"/>
      <c r="I36" s="4" t="s">
        <v>152</v>
      </c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 t="s">
        <v>85</v>
      </c>
      <c r="D37" s="4"/>
      <c r="E37" s="4"/>
      <c r="F37" s="18" t="s">
        <v>154</v>
      </c>
      <c r="G37" s="4" t="s">
        <v>69</v>
      </c>
      <c r="H37" s="4"/>
      <c r="I37" s="4" t="s">
        <v>183</v>
      </c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 t="s">
        <v>86</v>
      </c>
      <c r="C38" s="4"/>
      <c r="D38" s="4"/>
      <c r="E38" s="4"/>
      <c r="F38" s="17" t="s">
        <v>92</v>
      </c>
      <c r="G38" s="4" t="s">
        <v>69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 t="s">
        <v>87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 t="s">
        <v>88</v>
      </c>
      <c r="C40" s="4"/>
      <c r="D40" s="4"/>
      <c r="E40" s="4"/>
      <c r="F40" s="4" t="s">
        <v>74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 t="s">
        <v>93</v>
      </c>
      <c r="C42" s="4"/>
      <c r="D42" s="4"/>
      <c r="E42" s="4"/>
      <c r="F42" s="4" t="s">
        <v>74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 t="s">
        <v>327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 t="s">
        <v>103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 t="s">
        <v>102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 t="s">
        <v>111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8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1:18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3" spans="1:18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</row>
    <row r="324" spans="1:18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</row>
    <row r="325" spans="1:18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</row>
    <row r="327" spans="1:18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</row>
    <row r="328" spans="1:18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</row>
    <row r="329" spans="1:18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</row>
    <row r="330" spans="1:18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</row>
    <row r="331" spans="1:18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</row>
    <row r="332" spans="1:18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</row>
    <row r="333" spans="1:18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</row>
    <row r="334" spans="1:18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</row>
    <row r="335" spans="1:18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</row>
    <row r="336" spans="1:18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</row>
    <row r="337" spans="1:18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</row>
    <row r="338" spans="1:18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</row>
    <row r="339" spans="1:18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</row>
    <row r="340" spans="1:18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</row>
    <row r="341" spans="1:18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</row>
    <row r="342" spans="1:18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</row>
    <row r="343" spans="1:18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1:18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1:18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1:18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7" spans="1:18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</row>
    <row r="348" spans="1:18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1:18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1:18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1:18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2" spans="1:18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</row>
    <row r="353" spans="1:18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</row>
    <row r="354" spans="1:18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</row>
    <row r="355" spans="1:18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</row>
    <row r="356" spans="1:18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</row>
    <row r="357" spans="1:18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</row>
    <row r="358" spans="1:18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</row>
    <row r="359" spans="1:18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</row>
    <row r="360" spans="1:18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</row>
    <row r="361" spans="1:18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</row>
    <row r="362" spans="1:18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</row>
    <row r="363" spans="1:18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</row>
    <row r="364" spans="1:18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</row>
    <row r="365" spans="1:18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</row>
    <row r="367" spans="1:18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</row>
    <row r="368" spans="1:18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</row>
    <row r="369" spans="1:18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</row>
    <row r="370" spans="1:18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</row>
    <row r="371" spans="1:18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</row>
    <row r="372" spans="1:18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</row>
    <row r="373" spans="1:18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</row>
    <row r="374" spans="1:18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</row>
    <row r="375" spans="1:18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</row>
    <row r="376" spans="1:18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</row>
    <row r="377" spans="1:18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</row>
    <row r="378" spans="1:18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</row>
    <row r="379" spans="1:18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</row>
    <row r="380" spans="1:18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</row>
    <row r="381" spans="1:18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</row>
    <row r="382" spans="1:18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</row>
    <row r="383" spans="1:18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</row>
    <row r="384" spans="1:18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</row>
    <row r="385" spans="1:18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</row>
    <row r="386" spans="1:18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</row>
    <row r="387" spans="1:18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</row>
    <row r="388" spans="1:18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</row>
    <row r="389" spans="1:18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</row>
    <row r="390" spans="1:18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</row>
    <row r="391" spans="1:18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</row>
    <row r="392" spans="1:18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</row>
    <row r="393" spans="1:18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</row>
    <row r="394" spans="1:18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</row>
    <row r="395" spans="1:18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</row>
    <row r="396" spans="1:18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</row>
    <row r="397" spans="1:18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</row>
    <row r="398" spans="1:18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</row>
    <row r="399" spans="1:18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</row>
    <row r="400" spans="1:18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</row>
    <row r="401" spans="1:18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</row>
    <row r="402" spans="1:18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</row>
    <row r="403" spans="1:18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</row>
    <row r="404" spans="1:18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</row>
    <row r="405" spans="1:18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</row>
    <row r="406" spans="1:18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</row>
    <row r="407" spans="1:18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</row>
    <row r="408" spans="1:18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</row>
    <row r="409" spans="1:18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</row>
    <row r="410" spans="1:18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</row>
    <row r="411" spans="1:18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</row>
    <row r="412" spans="1:18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</row>
    <row r="413" spans="1:18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</row>
    <row r="414" spans="1:18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</row>
    <row r="415" spans="1:18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</row>
    <row r="416" spans="1:18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</row>
    <row r="417" spans="1:18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</row>
    <row r="418" spans="1:18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</row>
    <row r="419" spans="1:18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</row>
    <row r="420" spans="1:18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</row>
    <row r="421" spans="1:18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</row>
    <row r="422" spans="1:18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</row>
    <row r="423" spans="1:18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</row>
    <row r="424" spans="1:18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</row>
    <row r="425" spans="1:18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</row>
    <row r="426" spans="1:18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</row>
    <row r="427" spans="1:18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</row>
    <row r="428" spans="1:18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</row>
    <row r="429" spans="1:18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</row>
    <row r="430" spans="1:18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</row>
    <row r="431" spans="1:18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</row>
    <row r="432" spans="1:18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</row>
    <row r="433" spans="1:18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</row>
    <row r="434" spans="1:18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</row>
    <row r="435" spans="1:18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</row>
    <row r="436" spans="1:18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</row>
    <row r="437" spans="1:18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M69"/>
  <sheetViews>
    <sheetView workbookViewId="0" topLeftCell="A1">
      <selection activeCell="K25" sqref="K25"/>
    </sheetView>
  </sheetViews>
  <sheetFormatPr defaultColWidth="9.00390625" defaultRowHeight="12.75"/>
  <cols>
    <col min="1" max="1" width="2.375" style="4" customWidth="1"/>
    <col min="2" max="2" width="9.125" style="4" customWidth="1"/>
    <col min="3" max="3" width="10.25390625" style="4" customWidth="1"/>
    <col min="4" max="4" width="5.00390625" style="4" customWidth="1"/>
    <col min="5" max="5" width="10.25390625" style="4" customWidth="1"/>
    <col min="6" max="6" width="15.75390625" style="4" customWidth="1"/>
    <col min="7" max="7" width="3.75390625" style="4" customWidth="1"/>
    <col min="8" max="8" width="11.125" style="4" customWidth="1"/>
    <col min="9" max="9" width="12.125" style="4" customWidth="1"/>
    <col min="10" max="10" width="12.75390625" style="4" customWidth="1"/>
    <col min="11" max="11" width="12.00390625" style="4" customWidth="1"/>
    <col min="12" max="12" width="12.75390625" style="4" customWidth="1"/>
    <col min="13" max="13" width="12.75390625" style="4" bestFit="1" customWidth="1"/>
    <col min="14" max="16384" width="9.125" style="4" customWidth="1"/>
  </cols>
  <sheetData>
    <row r="3" spans="2:4" ht="15">
      <c r="B3" s="140" t="s">
        <v>219</v>
      </c>
      <c r="C3" s="141"/>
      <c r="D3" s="142" t="s">
        <v>25</v>
      </c>
    </row>
    <row r="5" spans="2:3" ht="12.75">
      <c r="B5" s="10"/>
      <c r="C5" s="10"/>
    </row>
    <row r="6" ht="12.75">
      <c r="B6" s="10" t="s">
        <v>125</v>
      </c>
    </row>
    <row r="7" spans="1:9" ht="12.75">
      <c r="A7" s="10"/>
      <c r="B7" s="10"/>
      <c r="C7" s="10"/>
      <c r="E7" s="10"/>
      <c r="F7" s="10"/>
      <c r="G7" s="10"/>
      <c r="H7" s="10"/>
      <c r="I7" s="10"/>
    </row>
    <row r="8" spans="1:9" ht="12.75">
      <c r="A8" s="10"/>
      <c r="B8" s="10" t="s">
        <v>269</v>
      </c>
      <c r="C8" s="10"/>
      <c r="E8" s="10"/>
      <c r="F8" s="10"/>
      <c r="G8" s="10"/>
      <c r="H8" s="10"/>
      <c r="I8" s="10"/>
    </row>
    <row r="10" ht="12.75">
      <c r="B10" s="4" t="s">
        <v>272</v>
      </c>
    </row>
    <row r="11" ht="12.75">
      <c r="B11" s="4" t="s">
        <v>146</v>
      </c>
    </row>
    <row r="12" ht="12.75">
      <c r="B12" s="4" t="s">
        <v>147</v>
      </c>
    </row>
    <row r="14" ht="12.75">
      <c r="B14" s="10" t="s">
        <v>144</v>
      </c>
    </row>
    <row r="16" ht="12.75">
      <c r="B16" s="10" t="s">
        <v>145</v>
      </c>
    </row>
    <row r="17" ht="12.75">
      <c r="B17" s="10"/>
    </row>
    <row r="18" ht="12.75">
      <c r="B18" s="4" t="s">
        <v>284</v>
      </c>
    </row>
    <row r="19" ht="12.75">
      <c r="B19" s="4" t="s">
        <v>126</v>
      </c>
    </row>
    <row r="20" ht="12.75">
      <c r="B20" s="10"/>
    </row>
    <row r="21" spans="3:7" ht="12.75">
      <c r="C21" s="4" t="s">
        <v>26</v>
      </c>
      <c r="G21" s="4" t="s">
        <v>27</v>
      </c>
    </row>
    <row r="22" spans="3:7" ht="12.75">
      <c r="C22" s="4" t="s">
        <v>28</v>
      </c>
      <c r="G22" s="4" t="s">
        <v>137</v>
      </c>
    </row>
    <row r="23" spans="3:7" ht="12.75">
      <c r="C23" s="4" t="s">
        <v>18</v>
      </c>
      <c r="G23" s="4" t="s">
        <v>136</v>
      </c>
    </row>
    <row r="24" ht="12.75">
      <c r="F24" s="39"/>
    </row>
    <row r="25" ht="12.75">
      <c r="F25" s="39"/>
    </row>
    <row r="26" spans="2:6" ht="12.75">
      <c r="B26" s="10" t="s">
        <v>171</v>
      </c>
      <c r="F26" s="39"/>
    </row>
    <row r="28" spans="2:12" ht="12.75">
      <c r="B28" s="10" t="s">
        <v>273</v>
      </c>
      <c r="E28" s="10" t="s">
        <v>127</v>
      </c>
      <c r="F28" s="10"/>
      <c r="G28" s="10"/>
      <c r="H28" s="10" t="s">
        <v>138</v>
      </c>
      <c r="L28" s="85" t="s">
        <v>211</v>
      </c>
    </row>
    <row r="29" spans="5:12" ht="12.75">
      <c r="E29" s="65" t="s">
        <v>134</v>
      </c>
      <c r="I29" s="85" t="s">
        <v>140</v>
      </c>
      <c r="J29" s="85" t="s">
        <v>29</v>
      </c>
      <c r="K29" s="85" t="s">
        <v>142</v>
      </c>
      <c r="L29" s="85" t="s">
        <v>212</v>
      </c>
    </row>
    <row r="30" spans="5:12" ht="12.75">
      <c r="E30" s="65" t="s">
        <v>135</v>
      </c>
      <c r="H30" s="85" t="s">
        <v>139</v>
      </c>
      <c r="I30" s="85" t="s">
        <v>141</v>
      </c>
      <c r="J30" s="85" t="s">
        <v>30</v>
      </c>
      <c r="K30" s="85" t="s">
        <v>88</v>
      </c>
      <c r="L30" s="85" t="s">
        <v>213</v>
      </c>
    </row>
    <row r="31" spans="2:12" ht="12.75">
      <c r="B31" s="4" t="s">
        <v>274</v>
      </c>
      <c r="E31" s="25">
        <v>69000</v>
      </c>
      <c r="F31" s="25"/>
      <c r="G31" s="25"/>
      <c r="H31" s="25">
        <v>350000</v>
      </c>
      <c r="I31" s="25">
        <v>850000</v>
      </c>
      <c r="J31" s="25">
        <v>3200000</v>
      </c>
      <c r="K31" s="25">
        <v>172000</v>
      </c>
      <c r="L31" s="25">
        <f>SUM(H31:K31)</f>
        <v>4572000</v>
      </c>
    </row>
    <row r="32" spans="2:12" ht="12.75">
      <c r="B32" s="4" t="s">
        <v>123</v>
      </c>
      <c r="D32" s="33"/>
      <c r="E32" s="25">
        <v>18000</v>
      </c>
      <c r="F32" s="25"/>
      <c r="G32" s="25"/>
      <c r="H32" s="25"/>
      <c r="I32" s="25">
        <v>500000</v>
      </c>
      <c r="J32" s="25">
        <v>756000</v>
      </c>
      <c r="K32" s="25">
        <v>150000</v>
      </c>
      <c r="L32" s="25">
        <f aca="true" t="shared" si="0" ref="L32:L41">SUM(H32:K32)</f>
        <v>1406000</v>
      </c>
    </row>
    <row r="33" spans="2:12" ht="12.75">
      <c r="B33" s="4" t="s">
        <v>124</v>
      </c>
      <c r="D33" s="41"/>
      <c r="E33" s="25"/>
      <c r="F33" s="25"/>
      <c r="G33" s="25"/>
      <c r="H33" s="25"/>
      <c r="I33" s="25"/>
      <c r="J33" s="25">
        <v>101000</v>
      </c>
      <c r="K33" s="25"/>
      <c r="L33" s="25">
        <f t="shared" si="0"/>
        <v>101000</v>
      </c>
    </row>
    <row r="34" spans="2:12" ht="12.75">
      <c r="B34" s="4" t="s">
        <v>128</v>
      </c>
      <c r="D34" s="41"/>
      <c r="E34" s="25"/>
      <c r="F34" s="25"/>
      <c r="G34" s="25"/>
      <c r="H34" s="25"/>
      <c r="I34" s="25">
        <v>170000</v>
      </c>
      <c r="J34" s="25"/>
      <c r="K34" s="25">
        <v>-170000</v>
      </c>
      <c r="L34" s="25">
        <f t="shared" si="0"/>
        <v>0</v>
      </c>
    </row>
    <row r="35" spans="2:12" ht="12.75">
      <c r="B35" s="4" t="s">
        <v>275</v>
      </c>
      <c r="D35" s="41"/>
      <c r="E35" s="25">
        <f>(SUM(E31:E34))</f>
        <v>87000</v>
      </c>
      <c r="F35" s="25"/>
      <c r="G35" s="25"/>
      <c r="H35" s="25">
        <f>H31</f>
        <v>350000</v>
      </c>
      <c r="I35" s="25">
        <f>(SUM(I31:I34))</f>
        <v>1520000</v>
      </c>
      <c r="J35" s="25">
        <f>(SUM(J31:J34))</f>
        <v>4057000</v>
      </c>
      <c r="K35" s="25">
        <f>(SUM(K31:K34))</f>
        <v>152000</v>
      </c>
      <c r="L35" s="25">
        <f t="shared" si="0"/>
        <v>6079000</v>
      </c>
    </row>
    <row r="36" spans="5:12" ht="12.75">
      <c r="E36" s="25"/>
      <c r="F36" s="25"/>
      <c r="G36" s="25"/>
      <c r="H36" s="25"/>
      <c r="I36" s="25"/>
      <c r="J36" s="25"/>
      <c r="K36" s="25"/>
      <c r="L36" s="25"/>
    </row>
    <row r="37" spans="2:12" ht="12.75">
      <c r="B37" s="4" t="s">
        <v>276</v>
      </c>
      <c r="E37" s="25">
        <v>-18900</v>
      </c>
      <c r="F37" s="25"/>
      <c r="G37" s="25"/>
      <c r="H37" s="25"/>
      <c r="I37" s="25">
        <f>(-I31/20*6)</f>
        <v>-255000</v>
      </c>
      <c r="J37" s="25">
        <f>(-J31/5*3)</f>
        <v>-1920000</v>
      </c>
      <c r="K37" s="25"/>
      <c r="L37" s="25">
        <f t="shared" si="0"/>
        <v>-2175000</v>
      </c>
    </row>
    <row r="38" spans="2:12" ht="12.75">
      <c r="B38" s="4" t="s">
        <v>129</v>
      </c>
      <c r="E38" s="25"/>
      <c r="F38" s="25"/>
      <c r="G38" s="25"/>
      <c r="H38" s="25"/>
      <c r="I38" s="25"/>
      <c r="J38" s="25"/>
      <c r="K38" s="25"/>
      <c r="L38" s="25"/>
    </row>
    <row r="39" spans="2:12" ht="12.75">
      <c r="B39" s="4" t="s">
        <v>131</v>
      </c>
      <c r="E39" s="25"/>
      <c r="F39" s="25"/>
      <c r="G39" s="25"/>
      <c r="H39" s="25"/>
      <c r="I39" s="25"/>
      <c r="J39" s="25">
        <v>58865.77426152886</v>
      </c>
      <c r="K39" s="25"/>
      <c r="L39" s="25">
        <f t="shared" si="0"/>
        <v>58865.77426152886</v>
      </c>
    </row>
    <row r="40" spans="2:12" ht="12.75">
      <c r="B40" s="4" t="s">
        <v>130</v>
      </c>
      <c r="E40" s="25">
        <v>-22900</v>
      </c>
      <c r="F40" s="25"/>
      <c r="G40" s="25"/>
      <c r="H40" s="25"/>
      <c r="I40" s="25">
        <f>(-I31/20-I32/20)</f>
        <v>-67500</v>
      </c>
      <c r="J40" s="25">
        <f>(-(J31+J32)/5)</f>
        <v>-791200</v>
      </c>
      <c r="K40" s="25"/>
      <c r="L40" s="25">
        <f t="shared" si="0"/>
        <v>-858700</v>
      </c>
    </row>
    <row r="41" spans="2:13" ht="12.75">
      <c r="B41" s="4" t="s">
        <v>277</v>
      </c>
      <c r="E41" s="25">
        <f>(+E37+E40)</f>
        <v>-41800</v>
      </c>
      <c r="F41" s="25"/>
      <c r="G41" s="25"/>
      <c r="H41" s="25"/>
      <c r="I41" s="25">
        <f>(SUM(I37:I40))</f>
        <v>-322500</v>
      </c>
      <c r="J41" s="25">
        <f>(SUM(J37:J40))</f>
        <v>-2652334.2257384714</v>
      </c>
      <c r="K41" s="25"/>
      <c r="L41" s="25">
        <f t="shared" si="0"/>
        <v>-2974834.2257384714</v>
      </c>
      <c r="M41" s="13"/>
    </row>
    <row r="42" spans="5:12" ht="12.75">
      <c r="E42" s="15"/>
      <c r="F42" s="13"/>
      <c r="G42" s="13"/>
      <c r="H42" s="15"/>
      <c r="I42" s="13"/>
      <c r="J42" s="13"/>
      <c r="K42" s="13"/>
      <c r="L42" s="13"/>
    </row>
    <row r="43" spans="2:12" ht="12.75">
      <c r="B43" s="4" t="s">
        <v>278</v>
      </c>
      <c r="E43" s="15"/>
      <c r="F43" s="13"/>
      <c r="G43" s="13"/>
      <c r="H43" s="15"/>
      <c r="I43" s="13"/>
      <c r="J43" s="13"/>
      <c r="K43" s="13"/>
      <c r="L43" s="13"/>
    </row>
    <row r="44" spans="2:12" ht="12.75">
      <c r="B44" s="4" t="s">
        <v>132</v>
      </c>
      <c r="E44" s="15"/>
      <c r="F44" s="13"/>
      <c r="G44" s="13"/>
      <c r="H44" s="15"/>
      <c r="I44" s="13"/>
      <c r="J44" s="13"/>
      <c r="K44" s="13"/>
      <c r="L44" s="13"/>
    </row>
    <row r="45" spans="2:12" ht="12.75">
      <c r="B45" s="4" t="s">
        <v>133</v>
      </c>
      <c r="E45" s="15"/>
      <c r="F45" s="13"/>
      <c r="G45" s="13"/>
      <c r="H45" s="15"/>
      <c r="I45" s="13"/>
      <c r="J45" s="13"/>
      <c r="K45" s="13"/>
      <c r="L45" s="13"/>
    </row>
    <row r="46" spans="2:12" ht="12.75">
      <c r="B46" s="4" t="s">
        <v>279</v>
      </c>
      <c r="E46" s="15"/>
      <c r="F46" s="13"/>
      <c r="G46" s="13"/>
      <c r="H46" s="15"/>
      <c r="I46" s="13"/>
      <c r="J46" s="13"/>
      <c r="K46" s="13"/>
      <c r="L46" s="13"/>
    </row>
    <row r="47" spans="5:12" ht="12.75">
      <c r="E47" s="15"/>
      <c r="F47" s="15"/>
      <c r="G47" s="15"/>
      <c r="H47" s="15"/>
      <c r="I47" s="13"/>
      <c r="J47" s="13"/>
      <c r="K47" s="13"/>
      <c r="L47" s="13"/>
    </row>
    <row r="48" spans="2:12" ht="12.75">
      <c r="B48" s="4" t="s">
        <v>280</v>
      </c>
      <c r="C48" s="41"/>
      <c r="E48" s="15"/>
      <c r="F48" s="15"/>
      <c r="G48" s="15"/>
      <c r="H48" s="15"/>
      <c r="I48" s="13"/>
      <c r="J48" s="13"/>
      <c r="K48" s="13"/>
      <c r="L48" s="13"/>
    </row>
    <row r="49" spans="2:12" ht="12.75">
      <c r="B49" s="4" t="s">
        <v>123</v>
      </c>
      <c r="C49" s="15"/>
      <c r="E49" s="15"/>
      <c r="F49" s="15"/>
      <c r="G49" s="15"/>
      <c r="H49" s="15"/>
      <c r="I49" s="13"/>
      <c r="J49" s="13"/>
      <c r="K49" s="13"/>
      <c r="L49" s="13"/>
    </row>
    <row r="50" spans="2:12" ht="12.75">
      <c r="B50" s="4" t="s">
        <v>124</v>
      </c>
      <c r="C50" s="15"/>
      <c r="E50" s="15"/>
      <c r="F50" s="15"/>
      <c r="G50" s="15"/>
      <c r="H50" s="15"/>
      <c r="I50" s="13"/>
      <c r="J50" s="13"/>
      <c r="K50" s="13"/>
      <c r="L50" s="13"/>
    </row>
    <row r="51" spans="2:12" ht="12.75">
      <c r="B51" s="4" t="s">
        <v>281</v>
      </c>
      <c r="C51" s="15"/>
      <c r="E51" s="15"/>
      <c r="F51" s="15"/>
      <c r="G51" s="15"/>
      <c r="H51" s="15"/>
      <c r="I51" s="13"/>
      <c r="J51" s="13"/>
      <c r="K51" s="13"/>
      <c r="L51" s="13"/>
    </row>
    <row r="52" spans="5:12" ht="12.75">
      <c r="E52" s="8"/>
      <c r="F52" s="8"/>
      <c r="G52" s="8"/>
      <c r="H52" s="8"/>
      <c r="I52" s="25"/>
      <c r="J52" s="25"/>
      <c r="K52" s="25"/>
      <c r="L52" s="25"/>
    </row>
    <row r="53" spans="2:12" ht="12.75">
      <c r="B53" s="4" t="s">
        <v>282</v>
      </c>
      <c r="E53" s="8">
        <f>+E35+E41</f>
        <v>45200</v>
      </c>
      <c r="F53" s="8"/>
      <c r="G53" s="8"/>
      <c r="H53" s="8">
        <f>+H35+H51</f>
        <v>350000</v>
      </c>
      <c r="I53" s="8">
        <f>+I35+I41</f>
        <v>1197500</v>
      </c>
      <c r="J53" s="8">
        <f>+J35+J41</f>
        <v>1404665.7742615286</v>
      </c>
      <c r="K53" s="8">
        <f>+K35+K51</f>
        <v>152000</v>
      </c>
      <c r="L53" s="25">
        <f>SUM(H53:K53)</f>
        <v>3104165.7742615286</v>
      </c>
    </row>
    <row r="54" spans="5:12" ht="12.75">
      <c r="E54" s="8"/>
      <c r="F54" s="8"/>
      <c r="G54" s="8"/>
      <c r="H54" s="8"/>
      <c r="I54" s="25"/>
      <c r="J54" s="25"/>
      <c r="K54" s="25"/>
      <c r="L54" s="25"/>
    </row>
    <row r="55" spans="2:12" ht="12.75">
      <c r="B55" s="4" t="s">
        <v>143</v>
      </c>
      <c r="E55" s="8"/>
      <c r="F55" s="8"/>
      <c r="G55" s="8"/>
      <c r="H55" s="8"/>
      <c r="I55" s="25"/>
      <c r="J55" s="25"/>
      <c r="K55" s="25"/>
      <c r="L55" s="25"/>
    </row>
    <row r="56" spans="2:12" ht="12.75">
      <c r="B56" s="4" t="s">
        <v>283</v>
      </c>
      <c r="E56" s="8"/>
      <c r="F56" s="8"/>
      <c r="G56" s="8"/>
      <c r="H56" s="8"/>
      <c r="I56" s="25"/>
      <c r="J56" s="25">
        <v>1120000</v>
      </c>
      <c r="K56" s="25"/>
      <c r="L56" s="25"/>
    </row>
    <row r="57" spans="5:12" ht="12.75">
      <c r="E57" s="8"/>
      <c r="F57" s="8"/>
      <c r="G57" s="8"/>
      <c r="H57" s="8"/>
      <c r="I57" s="25"/>
      <c r="J57" s="25"/>
      <c r="K57" s="25"/>
      <c r="L57" s="25"/>
    </row>
    <row r="58" spans="5:12" ht="12.75">
      <c r="E58" s="15"/>
      <c r="F58" s="15"/>
      <c r="G58" s="15"/>
      <c r="H58" s="15"/>
      <c r="I58" s="13"/>
      <c r="J58" s="13"/>
      <c r="K58" s="13"/>
      <c r="L58" s="13"/>
    </row>
    <row r="59" spans="2:12" ht="12.75">
      <c r="B59" s="10"/>
      <c r="E59" s="13"/>
      <c r="F59" s="13"/>
      <c r="G59" s="13"/>
      <c r="H59" s="13"/>
      <c r="I59" s="13"/>
      <c r="J59" s="13"/>
      <c r="K59" s="13"/>
      <c r="L59" s="13"/>
    </row>
    <row r="60" spans="2:12" ht="12.75">
      <c r="B60" s="10"/>
      <c r="E60" s="13"/>
      <c r="F60" s="13"/>
      <c r="G60" s="13"/>
      <c r="H60" s="13"/>
      <c r="I60" s="13"/>
      <c r="J60" s="13"/>
      <c r="K60" s="13"/>
      <c r="L60" s="13"/>
    </row>
    <row r="61" spans="5:12" ht="12.75">
      <c r="E61" s="13"/>
      <c r="F61" s="13"/>
      <c r="G61" s="13"/>
      <c r="H61" s="13"/>
      <c r="I61" s="13"/>
      <c r="J61" s="13"/>
      <c r="K61" s="13"/>
      <c r="L61" s="13"/>
    </row>
    <row r="62" spans="5:12" ht="12.75">
      <c r="E62" s="13"/>
      <c r="F62" s="13"/>
      <c r="G62" s="13"/>
      <c r="H62" s="13"/>
      <c r="I62" s="13"/>
      <c r="J62" s="13"/>
      <c r="K62" s="13"/>
      <c r="L62" s="13"/>
    </row>
    <row r="63" spans="5:12" ht="12.75">
      <c r="E63" s="13"/>
      <c r="F63" s="13"/>
      <c r="G63" s="13"/>
      <c r="H63" s="13"/>
      <c r="I63" s="13"/>
      <c r="J63" s="13"/>
      <c r="K63" s="13"/>
      <c r="L63" s="13"/>
    </row>
    <row r="64" spans="5:12" ht="12.75">
      <c r="E64" s="13"/>
      <c r="F64" s="13"/>
      <c r="G64" s="13"/>
      <c r="H64" s="13"/>
      <c r="I64" s="13"/>
      <c r="J64" s="13"/>
      <c r="K64" s="13"/>
      <c r="L64" s="13"/>
    </row>
    <row r="65" spans="5:12" ht="12.75">
      <c r="E65" s="13"/>
      <c r="F65" s="13"/>
      <c r="G65" s="13"/>
      <c r="H65" s="13"/>
      <c r="I65" s="13"/>
      <c r="J65" s="13"/>
      <c r="K65" s="13"/>
      <c r="L65" s="13"/>
    </row>
    <row r="66" spans="5:12" ht="12.75">
      <c r="E66" s="13"/>
      <c r="F66" s="13"/>
      <c r="G66" s="13"/>
      <c r="H66" s="13"/>
      <c r="I66" s="13"/>
      <c r="J66" s="13"/>
      <c r="K66" s="13"/>
      <c r="L66" s="13"/>
    </row>
    <row r="67" spans="5:12" ht="12.75">
      <c r="E67" s="13"/>
      <c r="F67" s="13"/>
      <c r="G67" s="13"/>
      <c r="H67" s="13"/>
      <c r="I67" s="13"/>
      <c r="J67" s="13"/>
      <c r="K67" s="13"/>
      <c r="L67" s="13"/>
    </row>
    <row r="68" spans="5:12" ht="12.75">
      <c r="E68" s="13"/>
      <c r="F68" s="13"/>
      <c r="G68" s="13"/>
      <c r="H68" s="13"/>
      <c r="I68" s="13"/>
      <c r="J68" s="13"/>
      <c r="K68" s="13"/>
      <c r="L68" s="13"/>
    </row>
    <row r="69" spans="5:12" ht="12.75">
      <c r="E69" s="13"/>
      <c r="F69" s="13"/>
      <c r="G69" s="13"/>
      <c r="H69" s="13"/>
      <c r="I69" s="13"/>
      <c r="J69" s="13"/>
      <c r="K69" s="13"/>
      <c r="L69" s="13"/>
    </row>
  </sheetData>
  <printOptions/>
  <pageMargins left="0.51" right="0.54" top="1" bottom="1" header="0.5" footer="0.5"/>
  <pageSetup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F14" sqref="F14"/>
    </sheetView>
  </sheetViews>
  <sheetFormatPr defaultColWidth="9.00390625" defaultRowHeight="12.75"/>
  <cols>
    <col min="1" max="1" width="2.875" style="4" customWidth="1"/>
    <col min="2" max="3" width="9.125" style="4" customWidth="1"/>
    <col min="4" max="4" width="14.375" style="4" customWidth="1"/>
    <col min="5" max="5" width="13.875" style="4" customWidth="1"/>
    <col min="6" max="6" width="10.75390625" style="4" customWidth="1"/>
    <col min="7" max="7" width="11.25390625" style="4" customWidth="1"/>
    <col min="8" max="8" width="9.125" style="4" customWidth="1"/>
    <col min="9" max="9" width="10.875" style="4" customWidth="1"/>
    <col min="10" max="16384" width="9.125" style="4" customWidth="1"/>
  </cols>
  <sheetData>
    <row r="2" spans="2:4" ht="12.75">
      <c r="B2" s="16" t="s">
        <v>230</v>
      </c>
      <c r="D2" s="10" t="s">
        <v>192</v>
      </c>
    </row>
    <row r="4" spans="2:3" ht="12.75">
      <c r="B4" s="10"/>
      <c r="C4" s="10"/>
    </row>
    <row r="5" ht="12.75">
      <c r="B5" s="10" t="s">
        <v>125</v>
      </c>
    </row>
    <row r="6" spans="2:8" ht="12.75">
      <c r="B6" s="10"/>
      <c r="C6" s="10"/>
      <c r="E6" s="10"/>
      <c r="F6" s="10"/>
      <c r="G6" s="10"/>
      <c r="H6" s="10"/>
    </row>
    <row r="7" spans="2:8" ht="12.75">
      <c r="B7" s="10" t="s">
        <v>270</v>
      </c>
      <c r="C7" s="10"/>
      <c r="E7" s="10"/>
      <c r="F7" s="10"/>
      <c r="G7" s="10"/>
      <c r="H7" s="10"/>
    </row>
    <row r="9" spans="1:9" ht="12.75">
      <c r="A9" s="10"/>
      <c r="B9" s="4" t="s">
        <v>329</v>
      </c>
      <c r="I9" s="10"/>
    </row>
    <row r="10" spans="1:9" ht="12.75">
      <c r="A10" s="10"/>
      <c r="B10" s="4" t="s">
        <v>267</v>
      </c>
      <c r="I10" s="10"/>
    </row>
    <row r="11" spans="1:9" ht="12.75">
      <c r="A11" s="10"/>
      <c r="B11" s="4" t="s">
        <v>147</v>
      </c>
      <c r="I11" s="10"/>
    </row>
    <row r="12" spans="1:9" ht="12.75">
      <c r="A12" s="10"/>
      <c r="I12" s="10"/>
    </row>
    <row r="14" ht="12.75">
      <c r="B14" s="10" t="s">
        <v>144</v>
      </c>
    </row>
    <row r="16" ht="12.75">
      <c r="B16" s="10" t="s">
        <v>271</v>
      </c>
    </row>
    <row r="17" ht="12.75">
      <c r="B17" s="10"/>
    </row>
    <row r="18" ht="12.75">
      <c r="B18" s="20" t="s">
        <v>148</v>
      </c>
    </row>
    <row r="19" ht="12.75">
      <c r="B19" s="20" t="s">
        <v>170</v>
      </c>
    </row>
    <row r="21" spans="2:8" ht="12.75">
      <c r="B21" s="129" t="s">
        <v>437</v>
      </c>
      <c r="C21" s="129"/>
      <c r="D21" s="129"/>
      <c r="E21" s="129"/>
      <c r="F21" s="129"/>
      <c r="G21" s="129"/>
      <c r="H21" s="129"/>
    </row>
    <row r="22" spans="2:8" ht="12.75">
      <c r="B22" s="129" t="s">
        <v>411</v>
      </c>
      <c r="C22" s="129"/>
      <c r="D22" s="129"/>
      <c r="E22" s="129"/>
      <c r="F22" s="129"/>
      <c r="G22" s="129"/>
      <c r="H22" s="129"/>
    </row>
    <row r="23" spans="2:8" ht="12.75">
      <c r="B23" s="129" t="s">
        <v>412</v>
      </c>
      <c r="C23" s="129"/>
      <c r="D23" s="129"/>
      <c r="E23" s="129"/>
      <c r="F23" s="129"/>
      <c r="G23" s="129"/>
      <c r="H23" s="129"/>
    </row>
    <row r="24" spans="2:8" ht="12.75">
      <c r="B24" s="129" t="s">
        <v>413</v>
      </c>
      <c r="C24" s="129"/>
      <c r="D24" s="129"/>
      <c r="E24" s="129"/>
      <c r="F24" s="129"/>
      <c r="G24" s="129"/>
      <c r="H24" s="129"/>
    </row>
    <row r="25" ht="12.75">
      <c r="B25" s="129"/>
    </row>
    <row r="26" ht="12.75">
      <c r="B26" s="4" t="s">
        <v>268</v>
      </c>
    </row>
    <row r="27" ht="12.75">
      <c r="B27" s="4" t="s">
        <v>330</v>
      </c>
    </row>
    <row r="28" ht="12" customHeight="1"/>
    <row r="29" spans="3:7" ht="12.75">
      <c r="C29" s="33"/>
      <c r="D29" s="33"/>
      <c r="E29" s="15"/>
      <c r="F29" s="15"/>
      <c r="G29" s="15"/>
    </row>
    <row r="30" spans="2:7" ht="12.75">
      <c r="B30" s="33"/>
      <c r="C30" s="33"/>
      <c r="D30" s="33"/>
      <c r="E30" s="15"/>
      <c r="F30" s="15"/>
      <c r="G30" s="15"/>
    </row>
    <row r="31" spans="2:7" ht="12.75">
      <c r="B31" s="33"/>
      <c r="C31" s="33"/>
      <c r="D31" s="33"/>
      <c r="E31" s="15"/>
      <c r="F31" s="15"/>
      <c r="G31" s="15"/>
    </row>
    <row r="32" spans="2:7" ht="12.75">
      <c r="B32" s="33"/>
      <c r="C32" s="33"/>
      <c r="D32" s="33"/>
      <c r="E32" s="15"/>
      <c r="F32" s="15"/>
      <c r="G32" s="15"/>
    </row>
    <row r="33" spans="2:7" ht="12.75">
      <c r="B33" s="33"/>
      <c r="C33" s="33"/>
      <c r="D33" s="33"/>
      <c r="E33" s="15"/>
      <c r="F33" s="15"/>
      <c r="G33" s="15"/>
    </row>
    <row r="34" spans="2:7" ht="12.75">
      <c r="B34" s="33"/>
      <c r="C34" s="33"/>
      <c r="D34" s="33"/>
      <c r="E34" s="15"/>
      <c r="F34" s="15"/>
      <c r="G34" s="15"/>
    </row>
    <row r="35" spans="2:7" ht="12.75">
      <c r="B35" s="33"/>
      <c r="C35" s="33"/>
      <c r="D35" s="33"/>
      <c r="E35" s="15"/>
      <c r="F35" s="15"/>
      <c r="G35" s="15"/>
    </row>
    <row r="36" ht="12.75">
      <c r="B36" s="10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173"/>
  <sheetViews>
    <sheetView workbookViewId="0" topLeftCell="A1">
      <selection activeCell="G26" sqref="G26"/>
    </sheetView>
  </sheetViews>
  <sheetFormatPr defaultColWidth="9.00390625" defaultRowHeight="12.75"/>
  <cols>
    <col min="1" max="1" width="7.875" style="4" customWidth="1"/>
    <col min="2" max="2" width="8.00390625" style="4" customWidth="1"/>
    <col min="3" max="3" width="14.875" style="4" customWidth="1"/>
    <col min="4" max="4" width="12.625" style="4" customWidth="1"/>
    <col min="5" max="5" width="9.875" style="4" customWidth="1"/>
    <col min="6" max="6" width="12.125" style="4" customWidth="1"/>
    <col min="7" max="8" width="10.75390625" style="4" customWidth="1"/>
    <col min="9" max="9" width="11.875" style="4" customWidth="1"/>
    <col min="10" max="10" width="11.375" style="4" customWidth="1"/>
    <col min="11" max="11" width="10.875" style="4" customWidth="1"/>
    <col min="12" max="12" width="10.375" style="4" customWidth="1"/>
    <col min="13" max="16384" width="9.125" style="4" customWidth="1"/>
  </cols>
  <sheetData>
    <row r="2" ht="12.75">
      <c r="G2" s="9"/>
    </row>
    <row r="3" spans="1:7" ht="12.75">
      <c r="A3" s="62" t="s">
        <v>297</v>
      </c>
      <c r="B3" s="10"/>
      <c r="C3" s="10" t="s">
        <v>216</v>
      </c>
      <c r="D3" s="10"/>
      <c r="G3" s="9"/>
    </row>
    <row r="4" spans="1:7" ht="12.75">
      <c r="A4" s="62"/>
      <c r="B4" s="10"/>
      <c r="C4" s="10"/>
      <c r="D4" s="10"/>
      <c r="G4" s="9"/>
    </row>
    <row r="5" ht="12.75">
      <c r="G5" s="9"/>
    </row>
    <row r="6" spans="1:10" ht="12.75">
      <c r="A6" s="10"/>
      <c r="B6" s="10"/>
      <c r="C6" s="10" t="s">
        <v>255</v>
      </c>
      <c r="D6" s="10"/>
      <c r="E6" s="10"/>
      <c r="F6" s="10"/>
      <c r="G6" s="11"/>
      <c r="H6" s="10"/>
      <c r="I6" s="10"/>
      <c r="J6" s="12"/>
    </row>
    <row r="7" spans="1:12" ht="12.75">
      <c r="A7" s="10"/>
      <c r="B7" s="10"/>
      <c r="C7" s="10" t="s">
        <v>264</v>
      </c>
      <c r="D7" s="10"/>
      <c r="E7" s="10"/>
      <c r="F7" s="10"/>
      <c r="G7" s="11"/>
      <c r="H7" s="10"/>
      <c r="I7" s="10"/>
      <c r="J7" s="10"/>
      <c r="K7" s="42"/>
      <c r="L7" s="12"/>
    </row>
    <row r="8" spans="1:12" ht="12.75">
      <c r="A8" s="10"/>
      <c r="B8" s="10"/>
      <c r="C8" s="10" t="s">
        <v>256</v>
      </c>
      <c r="D8" s="10"/>
      <c r="E8" s="10"/>
      <c r="F8" s="10"/>
      <c r="G8" s="11"/>
      <c r="H8" s="10"/>
      <c r="I8" s="10"/>
      <c r="J8" s="10"/>
      <c r="K8" s="42"/>
      <c r="L8" s="10"/>
    </row>
    <row r="9" spans="1:10" ht="12.75">
      <c r="A9" s="10"/>
      <c r="B9" s="10"/>
      <c r="C9" s="10" t="s">
        <v>257</v>
      </c>
      <c r="D9" s="10"/>
      <c r="E9" s="10"/>
      <c r="F9" s="10"/>
      <c r="G9" s="11"/>
      <c r="H9" s="10"/>
      <c r="I9" s="10"/>
      <c r="J9" s="10"/>
    </row>
    <row r="10" spans="1:10" ht="12.75">
      <c r="A10" s="10"/>
      <c r="B10" s="10"/>
      <c r="C10" s="10"/>
      <c r="D10" s="10"/>
      <c r="E10" s="10"/>
      <c r="F10" s="10"/>
      <c r="G10" s="11"/>
      <c r="H10" s="10"/>
      <c r="I10" s="10"/>
      <c r="J10" s="10"/>
    </row>
    <row r="11" spans="1:10" ht="12.75">
      <c r="A11" s="10" t="s">
        <v>85</v>
      </c>
      <c r="B11" s="10"/>
      <c r="C11" s="10" t="s">
        <v>112</v>
      </c>
      <c r="D11" s="10"/>
      <c r="E11" s="10"/>
      <c r="H11" s="10" t="s">
        <v>111</v>
      </c>
      <c r="I11" s="10"/>
      <c r="J11" s="10"/>
    </row>
    <row r="12" spans="3:9" ht="12.75">
      <c r="C12" s="10"/>
      <c r="D12" s="10"/>
      <c r="G12" s="9" t="s">
        <v>114</v>
      </c>
      <c r="H12" s="4" t="s">
        <v>116</v>
      </c>
      <c r="I12" s="4" t="s">
        <v>118</v>
      </c>
    </row>
    <row r="13" spans="1:9" ht="12.75">
      <c r="A13" s="4" t="s">
        <v>113</v>
      </c>
      <c r="F13" s="4" t="s">
        <v>14</v>
      </c>
      <c r="G13" s="9" t="s">
        <v>115</v>
      </c>
      <c r="H13" s="4" t="s">
        <v>117</v>
      </c>
      <c r="I13" s="4" t="s">
        <v>119</v>
      </c>
    </row>
    <row r="14" spans="1:9" ht="12.75">
      <c r="A14" s="4" t="s">
        <v>265</v>
      </c>
      <c r="F14" s="25">
        <v>8100</v>
      </c>
      <c r="G14" s="25">
        <f>(+(F14/3)*2)</f>
        <v>5400</v>
      </c>
      <c r="H14" s="25">
        <f>+F14-G14</f>
        <v>2700</v>
      </c>
      <c r="I14" s="25">
        <f>+F14-G14-H14</f>
        <v>0</v>
      </c>
    </row>
    <row r="15" ht="12.75">
      <c r="J15" s="13"/>
    </row>
    <row r="16" spans="6:10" ht="12.75">
      <c r="F16" s="13"/>
      <c r="G16" s="13"/>
      <c r="H16" s="13"/>
      <c r="I16" s="13"/>
      <c r="J16" s="13"/>
    </row>
    <row r="17" spans="1:10" ht="12.75">
      <c r="A17" s="10"/>
      <c r="G17" s="86" t="s">
        <v>114</v>
      </c>
      <c r="H17" s="65" t="s">
        <v>116</v>
      </c>
      <c r="I17" s="65" t="s">
        <v>118</v>
      </c>
      <c r="J17" s="13"/>
    </row>
    <row r="18" spans="1:9" ht="12.75">
      <c r="A18" s="33" t="s">
        <v>120</v>
      </c>
      <c r="F18" s="4" t="s">
        <v>14</v>
      </c>
      <c r="G18" s="86" t="s">
        <v>115</v>
      </c>
      <c r="H18" s="65" t="s">
        <v>117</v>
      </c>
      <c r="I18" s="65" t="s">
        <v>119</v>
      </c>
    </row>
    <row r="19" spans="1:13" ht="12.75">
      <c r="A19" s="4" t="s">
        <v>266</v>
      </c>
      <c r="B19" s="33"/>
      <c r="C19" s="33"/>
      <c r="D19" s="33"/>
      <c r="E19" s="33"/>
      <c r="F19" s="25">
        <v>6300</v>
      </c>
      <c r="G19" s="25">
        <f>(+(F19/3)*1)</f>
        <v>2100</v>
      </c>
      <c r="H19" s="25">
        <f>+G19</f>
        <v>2100</v>
      </c>
      <c r="I19" s="25">
        <f>+F19-G19-H19</f>
        <v>2100</v>
      </c>
      <c r="K19" s="41"/>
      <c r="L19" s="33"/>
      <c r="M19" s="33"/>
    </row>
    <row r="20" spans="1:13" ht="12.75">
      <c r="A20" s="33"/>
      <c r="B20" s="33"/>
      <c r="C20" s="33"/>
      <c r="D20" s="33"/>
      <c r="E20" s="33"/>
      <c r="F20" s="25"/>
      <c r="G20" s="25"/>
      <c r="H20" s="25"/>
      <c r="I20" s="25"/>
      <c r="J20" s="13"/>
      <c r="K20" s="41"/>
      <c r="L20" s="33"/>
      <c r="M20" s="33"/>
    </row>
    <row r="21" spans="1:13" ht="12.75">
      <c r="A21" s="33"/>
      <c r="B21" s="33"/>
      <c r="C21" s="33"/>
      <c r="D21" s="33"/>
      <c r="E21" s="33"/>
      <c r="F21" s="8"/>
      <c r="G21" s="8"/>
      <c r="H21" s="8"/>
      <c r="I21" s="8"/>
      <c r="J21" s="15"/>
      <c r="K21" s="15"/>
      <c r="L21" s="33"/>
      <c r="M21" s="33"/>
    </row>
    <row r="22" spans="1:13" ht="12.75">
      <c r="A22" s="33" t="s">
        <v>121</v>
      </c>
      <c r="B22" s="33"/>
      <c r="C22" s="33"/>
      <c r="D22" s="33"/>
      <c r="E22" s="87" t="s">
        <v>31</v>
      </c>
      <c r="F22" s="25"/>
      <c r="G22" s="93" t="s">
        <v>114</v>
      </c>
      <c r="H22" s="26" t="s">
        <v>116</v>
      </c>
      <c r="I22" s="25" t="s">
        <v>118</v>
      </c>
      <c r="J22" s="15"/>
      <c r="K22" s="15"/>
      <c r="L22" s="33"/>
      <c r="M22" s="33"/>
    </row>
    <row r="23" spans="1:13" ht="12.75">
      <c r="A23" s="43" t="s">
        <v>165</v>
      </c>
      <c r="B23" s="33"/>
      <c r="C23" s="33"/>
      <c r="D23" s="33"/>
      <c r="E23" s="87" t="s">
        <v>214</v>
      </c>
      <c r="F23" s="25" t="s">
        <v>14</v>
      </c>
      <c r="G23" s="93" t="s">
        <v>115</v>
      </c>
      <c r="H23" s="26" t="s">
        <v>117</v>
      </c>
      <c r="I23" s="25" t="s">
        <v>119</v>
      </c>
      <c r="J23" s="15"/>
      <c r="K23" s="15"/>
      <c r="L23" s="33"/>
      <c r="M23" s="33"/>
    </row>
    <row r="24" spans="1:13" ht="12.75">
      <c r="A24" s="40" t="s">
        <v>36</v>
      </c>
      <c r="B24" s="44" t="s">
        <v>33</v>
      </c>
      <c r="C24" s="44"/>
      <c r="D24" s="44"/>
      <c r="E24" s="44"/>
      <c r="F24" s="94"/>
      <c r="G24" s="94"/>
      <c r="H24" s="94"/>
      <c r="I24" s="94"/>
      <c r="J24" s="15"/>
      <c r="K24" s="33"/>
      <c r="L24" s="33"/>
      <c r="M24" s="33"/>
    </row>
    <row r="25" spans="1:13" ht="12.75">
      <c r="A25" s="4">
        <v>215</v>
      </c>
      <c r="B25" s="4" t="s">
        <v>2</v>
      </c>
      <c r="D25" s="4" t="s">
        <v>37</v>
      </c>
      <c r="E25" s="76">
        <v>37681</v>
      </c>
      <c r="F25" s="25">
        <v>1100</v>
      </c>
      <c r="G25" s="25"/>
      <c r="H25" s="25">
        <f>+F25/3</f>
        <v>366.6666666666667</v>
      </c>
      <c r="I25" s="25">
        <f>+F25-H25</f>
        <v>733.3333333333333</v>
      </c>
      <c r="J25" s="15"/>
      <c r="K25" s="33"/>
      <c r="L25" s="33"/>
      <c r="M25" s="33"/>
    </row>
    <row r="26" spans="1:13" ht="12.75">
      <c r="A26" s="4">
        <v>215</v>
      </c>
      <c r="B26" s="4" t="s">
        <v>259</v>
      </c>
      <c r="D26" s="4" t="s">
        <v>38</v>
      </c>
      <c r="E26" s="76">
        <v>37681</v>
      </c>
      <c r="F26" s="25">
        <v>2390</v>
      </c>
      <c r="G26" s="25"/>
      <c r="H26" s="25">
        <f>+F26/3</f>
        <v>796.6666666666666</v>
      </c>
      <c r="I26" s="25">
        <f>+F26-H26</f>
        <v>1593.3333333333335</v>
      </c>
      <c r="J26" s="15"/>
      <c r="K26" s="15"/>
      <c r="L26" s="15"/>
      <c r="M26" s="33"/>
    </row>
    <row r="27" spans="1:13" ht="12.75">
      <c r="A27" s="4">
        <v>215</v>
      </c>
      <c r="B27" s="4" t="s">
        <v>39</v>
      </c>
      <c r="D27" s="4" t="s">
        <v>40</v>
      </c>
      <c r="E27" s="76">
        <v>37681</v>
      </c>
      <c r="F27" s="25">
        <v>600</v>
      </c>
      <c r="G27" s="25"/>
      <c r="H27" s="25">
        <f>+F27/3</f>
        <v>200</v>
      </c>
      <c r="I27" s="25">
        <f>+F27-H27</f>
        <v>400</v>
      </c>
      <c r="J27" s="15"/>
      <c r="K27" s="15"/>
      <c r="L27" s="15"/>
      <c r="M27" s="15"/>
    </row>
    <row r="28" spans="1:13" ht="12.75">
      <c r="A28" s="4">
        <v>455</v>
      </c>
      <c r="B28" s="4" t="s">
        <v>259</v>
      </c>
      <c r="D28" s="4" t="s">
        <v>41</v>
      </c>
      <c r="E28" s="76">
        <v>37778</v>
      </c>
      <c r="F28" s="25">
        <v>2400</v>
      </c>
      <c r="G28" s="25"/>
      <c r="H28" s="25">
        <f>+F28/3</f>
        <v>800</v>
      </c>
      <c r="I28" s="25">
        <f>+F28-H28</f>
        <v>1600</v>
      </c>
      <c r="J28" s="15"/>
      <c r="K28" s="15"/>
      <c r="L28" s="15"/>
      <c r="M28" s="15"/>
    </row>
    <row r="29" spans="1:13" ht="12.75">
      <c r="A29" s="4">
        <v>455</v>
      </c>
      <c r="B29" s="4" t="s">
        <v>259</v>
      </c>
      <c r="D29" s="4" t="s">
        <v>41</v>
      </c>
      <c r="E29" s="76">
        <v>37778</v>
      </c>
      <c r="F29" s="50">
        <v>2400</v>
      </c>
      <c r="G29" s="25"/>
      <c r="H29" s="50">
        <f>+F29/3</f>
        <v>800</v>
      </c>
      <c r="I29" s="50">
        <f>+F29-H29</f>
        <v>1600</v>
      </c>
      <c r="J29" s="15"/>
      <c r="K29" s="15"/>
      <c r="L29" s="15"/>
      <c r="M29" s="15"/>
    </row>
    <row r="30" spans="1:13" ht="12.75">
      <c r="A30" s="4" t="s">
        <v>166</v>
      </c>
      <c r="F30" s="25">
        <f>SUM(F25:F29)</f>
        <v>8890</v>
      </c>
      <c r="G30" s="25"/>
      <c r="H30" s="25">
        <f>SUM(H25:H29)</f>
        <v>2963.333333333333</v>
      </c>
      <c r="I30" s="25">
        <f>SUM(I25:I29)</f>
        <v>5926.666666666667</v>
      </c>
      <c r="J30" s="15"/>
      <c r="K30" s="15"/>
      <c r="L30" s="15"/>
      <c r="M30" s="15"/>
    </row>
    <row r="31" spans="6:13" ht="12.75">
      <c r="F31" s="25"/>
      <c r="G31" s="25"/>
      <c r="H31" s="25"/>
      <c r="I31" s="25"/>
      <c r="J31" s="33"/>
      <c r="K31" s="33"/>
      <c r="L31" s="33"/>
      <c r="M31" s="33"/>
    </row>
    <row r="32" spans="1:13" ht="12.75">
      <c r="A32" s="4" t="s">
        <v>167</v>
      </c>
      <c r="F32" s="25"/>
      <c r="G32" s="25"/>
      <c r="H32" s="25"/>
      <c r="I32" s="25"/>
      <c r="J32" s="33"/>
      <c r="K32" s="33"/>
      <c r="L32" s="33"/>
      <c r="M32" s="33"/>
    </row>
    <row r="33" spans="1:13" ht="12.75">
      <c r="A33" s="4" t="s">
        <v>168</v>
      </c>
      <c r="E33" s="4" t="s">
        <v>215</v>
      </c>
      <c r="F33" s="25"/>
      <c r="G33" s="95"/>
      <c r="H33" s="25"/>
      <c r="I33" s="95"/>
      <c r="J33" s="33"/>
      <c r="K33" s="33"/>
      <c r="L33" s="33"/>
      <c r="M33" s="33"/>
    </row>
    <row r="34" spans="1:13" ht="12.75">
      <c r="A34" s="40" t="s">
        <v>36</v>
      </c>
      <c r="B34" s="44" t="s">
        <v>32</v>
      </c>
      <c r="C34" s="44"/>
      <c r="D34" s="44"/>
      <c r="E34" s="44" t="s">
        <v>214</v>
      </c>
      <c r="F34" s="96" t="s">
        <v>43</v>
      </c>
      <c r="G34" s="8"/>
      <c r="H34" s="97"/>
      <c r="I34" s="97"/>
      <c r="K34" s="41"/>
      <c r="L34" s="41"/>
      <c r="M34" s="33"/>
    </row>
    <row r="35" spans="1:13" ht="12.75">
      <c r="A35" s="14" t="str">
        <f>"522"</f>
        <v>522</v>
      </c>
      <c r="B35" s="4" t="s">
        <v>2</v>
      </c>
      <c r="D35" s="4" t="s">
        <v>44</v>
      </c>
      <c r="E35" s="76">
        <v>37681</v>
      </c>
      <c r="F35" s="25">
        <v>505</v>
      </c>
      <c r="G35" s="8"/>
      <c r="H35" s="8"/>
      <c r="I35" s="8"/>
      <c r="J35" s="41"/>
      <c r="K35" s="41"/>
      <c r="L35" s="41"/>
      <c r="M35" s="33"/>
    </row>
    <row r="36" spans="6:13" ht="12.75">
      <c r="F36" s="25"/>
      <c r="G36" s="95"/>
      <c r="H36" s="8"/>
      <c r="I36" s="8"/>
      <c r="J36" s="15"/>
      <c r="K36" s="15"/>
      <c r="L36" s="15"/>
      <c r="M36" s="33"/>
    </row>
    <row r="37" spans="6:13" ht="12.75">
      <c r="F37" s="25"/>
      <c r="G37" s="25"/>
      <c r="H37" s="25"/>
      <c r="I37" s="25"/>
      <c r="J37" s="15"/>
      <c r="K37" s="15"/>
      <c r="L37" s="15"/>
      <c r="M37" s="33"/>
    </row>
    <row r="38" spans="6:13" ht="12.75">
      <c r="F38" s="25"/>
      <c r="G38" s="93" t="s">
        <v>114</v>
      </c>
      <c r="H38" s="26" t="s">
        <v>116</v>
      </c>
      <c r="I38" s="25" t="s">
        <v>118</v>
      </c>
      <c r="L38" s="15"/>
      <c r="M38" s="33"/>
    </row>
    <row r="39" spans="6:13" ht="12.75">
      <c r="F39" s="25" t="s">
        <v>14</v>
      </c>
      <c r="G39" s="93" t="s">
        <v>115</v>
      </c>
      <c r="H39" s="26" t="s">
        <v>117</v>
      </c>
      <c r="I39" s="25" t="s">
        <v>119</v>
      </c>
      <c r="L39" s="15"/>
      <c r="M39" s="33"/>
    </row>
    <row r="40" spans="1:13" ht="12.75">
      <c r="A40" s="10" t="s">
        <v>122</v>
      </c>
      <c r="F40" s="25">
        <f>+F14+F19+F30-F35</f>
        <v>22785</v>
      </c>
      <c r="G40" s="25">
        <f>+G19+G14</f>
        <v>7500</v>
      </c>
      <c r="H40" s="25">
        <f>+H14+H19+H30</f>
        <v>7763.333333333333</v>
      </c>
      <c r="I40" s="25">
        <f>+F40-G40-H40</f>
        <v>7521.666666666667</v>
      </c>
      <c r="J40" s="15"/>
      <c r="K40" s="15"/>
      <c r="L40" s="15"/>
      <c r="M40" s="33"/>
    </row>
    <row r="41" spans="6:13" ht="12.75">
      <c r="F41" s="25"/>
      <c r="G41" s="25"/>
      <c r="H41" s="25"/>
      <c r="I41" s="25"/>
      <c r="J41" s="15"/>
      <c r="K41" s="15"/>
      <c r="L41" s="15"/>
      <c r="M41" s="33"/>
    </row>
    <row r="42" spans="10:13" ht="12.75">
      <c r="J42" s="15"/>
      <c r="K42" s="15"/>
      <c r="L42" s="15"/>
      <c r="M42" s="33"/>
    </row>
    <row r="43" spans="1:13" ht="12.75">
      <c r="A43" s="33" t="s">
        <v>217</v>
      </c>
      <c r="B43" s="33"/>
      <c r="C43" s="33"/>
      <c r="D43" s="33"/>
      <c r="E43" s="33"/>
      <c r="F43" s="33"/>
      <c r="G43" s="28"/>
      <c r="H43" s="33"/>
      <c r="I43" s="15"/>
      <c r="J43" s="15"/>
      <c r="K43" s="15"/>
      <c r="L43" s="15"/>
      <c r="M43" s="33"/>
    </row>
    <row r="44" spans="1:13" ht="12.75">
      <c r="A44" s="33"/>
      <c r="B44" s="33"/>
      <c r="C44" s="33"/>
      <c r="D44" s="33"/>
      <c r="E44" s="33"/>
      <c r="F44" s="33"/>
      <c r="G44" s="28"/>
      <c r="H44" s="33"/>
      <c r="I44" s="15"/>
      <c r="J44" s="15"/>
      <c r="K44" s="15"/>
      <c r="L44" s="15"/>
      <c r="M44" s="33"/>
    </row>
    <row r="45" spans="1:13" ht="12.75">
      <c r="A45" s="33"/>
      <c r="B45" s="33"/>
      <c r="C45" s="33"/>
      <c r="D45" s="33"/>
      <c r="E45" s="33"/>
      <c r="F45" s="33"/>
      <c r="G45" s="28"/>
      <c r="H45" s="33"/>
      <c r="I45" s="15"/>
      <c r="J45" s="15"/>
      <c r="K45" s="33"/>
      <c r="L45" s="33"/>
      <c r="M45" s="33"/>
    </row>
    <row r="46" spans="1:13" ht="12.75">
      <c r="A46" s="33"/>
      <c r="B46" s="33"/>
      <c r="C46" s="33"/>
      <c r="D46" s="33"/>
      <c r="E46" s="33"/>
      <c r="F46" s="33"/>
      <c r="G46" s="45"/>
      <c r="H46" s="33"/>
      <c r="I46" s="46"/>
      <c r="J46" s="46"/>
      <c r="K46" s="41"/>
      <c r="L46" s="33"/>
      <c r="M46" s="33"/>
    </row>
    <row r="47" spans="1:13" ht="12.75">
      <c r="A47" s="33"/>
      <c r="B47" s="33"/>
      <c r="C47" s="33"/>
      <c r="D47" s="33"/>
      <c r="E47" s="33"/>
      <c r="F47" s="41"/>
      <c r="G47" s="45"/>
      <c r="H47" s="33"/>
      <c r="I47" s="46"/>
      <c r="J47" s="46"/>
      <c r="K47" s="41"/>
      <c r="L47" s="33"/>
      <c r="M47" s="33"/>
    </row>
    <row r="48" spans="1:13" ht="12.75">
      <c r="A48" s="33"/>
      <c r="B48" s="33"/>
      <c r="C48" s="33"/>
      <c r="D48" s="33"/>
      <c r="E48" s="33"/>
      <c r="F48" s="15"/>
      <c r="G48" s="28"/>
      <c r="H48" s="47"/>
      <c r="I48" s="15"/>
      <c r="J48" s="15"/>
      <c r="K48" s="15"/>
      <c r="L48" s="33"/>
      <c r="M48" s="33"/>
    </row>
    <row r="49" spans="1:13" ht="12.75">
      <c r="A49" s="33"/>
      <c r="B49" s="33"/>
      <c r="C49" s="33"/>
      <c r="D49" s="33"/>
      <c r="E49" s="33"/>
      <c r="F49" s="15"/>
      <c r="G49" s="28"/>
      <c r="H49" s="47"/>
      <c r="I49" s="15"/>
      <c r="J49" s="15"/>
      <c r="K49" s="15"/>
      <c r="L49" s="33"/>
      <c r="M49" s="33"/>
    </row>
    <row r="50" spans="1:13" ht="12.75">
      <c r="A50" s="33"/>
      <c r="B50" s="33"/>
      <c r="C50" s="33"/>
      <c r="D50" s="33"/>
      <c r="E50" s="33"/>
      <c r="F50" s="15"/>
      <c r="G50" s="28"/>
      <c r="H50" s="33"/>
      <c r="I50" s="15"/>
      <c r="J50" s="15"/>
      <c r="K50" s="15"/>
      <c r="L50" s="33"/>
      <c r="M50" s="33"/>
    </row>
    <row r="51" spans="1:13" ht="12.75">
      <c r="A51" s="33"/>
      <c r="B51" s="33"/>
      <c r="C51" s="33"/>
      <c r="D51" s="33"/>
      <c r="E51" s="33"/>
      <c r="F51" s="15"/>
      <c r="G51" s="45"/>
      <c r="H51" s="33"/>
      <c r="I51" s="46"/>
      <c r="J51" s="15"/>
      <c r="K51" s="46"/>
      <c r="L51" s="33"/>
      <c r="M51" s="33"/>
    </row>
    <row r="52" spans="1:13" ht="12.75">
      <c r="A52" s="33"/>
      <c r="B52" s="33"/>
      <c r="C52" s="33"/>
      <c r="D52" s="33"/>
      <c r="E52" s="33"/>
      <c r="F52" s="46"/>
      <c r="G52" s="45"/>
      <c r="H52" s="33"/>
      <c r="I52" s="46"/>
      <c r="J52" s="15"/>
      <c r="K52" s="46"/>
      <c r="L52" s="33"/>
      <c r="M52" s="33"/>
    </row>
    <row r="53" spans="1:13" ht="12.75">
      <c r="A53" s="33"/>
      <c r="B53" s="33"/>
      <c r="C53" s="33"/>
      <c r="D53" s="33"/>
      <c r="E53" s="33"/>
      <c r="F53" s="15"/>
      <c r="G53" s="28"/>
      <c r="H53" s="48"/>
      <c r="I53" s="15"/>
      <c r="J53" s="15"/>
      <c r="K53" s="15"/>
      <c r="L53" s="33"/>
      <c r="M53" s="33"/>
    </row>
    <row r="54" spans="1:13" ht="12.75">
      <c r="A54" s="33"/>
      <c r="B54" s="33"/>
      <c r="C54" s="33"/>
      <c r="D54" s="33"/>
      <c r="E54" s="33"/>
      <c r="F54" s="33"/>
      <c r="G54" s="28"/>
      <c r="H54" s="33"/>
      <c r="I54" s="33"/>
      <c r="J54" s="15"/>
      <c r="K54" s="33"/>
      <c r="L54" s="33"/>
      <c r="M54" s="33"/>
    </row>
    <row r="55" spans="1:13" ht="12.75">
      <c r="A55" s="33"/>
      <c r="B55" s="33"/>
      <c r="C55" s="33"/>
      <c r="D55" s="33"/>
      <c r="E55" s="33"/>
      <c r="F55" s="33"/>
      <c r="G55" s="45"/>
      <c r="H55" s="33"/>
      <c r="I55" s="33"/>
      <c r="J55" s="46"/>
      <c r="K55" s="33"/>
      <c r="L55" s="41"/>
      <c r="M55" s="33"/>
    </row>
    <row r="56" spans="1:13" ht="12.75">
      <c r="A56" s="33"/>
      <c r="B56" s="33"/>
      <c r="C56" s="33"/>
      <c r="D56" s="33"/>
      <c r="E56" s="33"/>
      <c r="F56" s="33"/>
      <c r="G56" s="15"/>
      <c r="H56" s="33"/>
      <c r="I56" s="33"/>
      <c r="J56" s="15"/>
      <c r="K56" s="33"/>
      <c r="L56" s="15"/>
      <c r="M56" s="33"/>
    </row>
    <row r="57" spans="1:13" ht="12.75">
      <c r="A57" s="33"/>
      <c r="B57" s="33"/>
      <c r="C57" s="33"/>
      <c r="D57" s="33"/>
      <c r="E57" s="33"/>
      <c r="F57" s="33"/>
      <c r="G57" s="28"/>
      <c r="H57" s="33"/>
      <c r="I57" s="33"/>
      <c r="J57" s="15"/>
      <c r="K57" s="33"/>
      <c r="L57" s="33"/>
      <c r="M57" s="33"/>
    </row>
    <row r="58" spans="1:13" ht="12.75">
      <c r="A58" s="33"/>
      <c r="B58" s="33"/>
      <c r="C58" s="33"/>
      <c r="D58" s="33"/>
      <c r="E58" s="33"/>
      <c r="F58" s="33"/>
      <c r="G58" s="28"/>
      <c r="H58" s="33"/>
      <c r="I58" s="33"/>
      <c r="J58" s="15"/>
      <c r="K58" s="33"/>
      <c r="L58" s="33"/>
      <c r="M58" s="33"/>
    </row>
    <row r="59" spans="1:13" ht="12.75">
      <c r="A59" s="33"/>
      <c r="B59" s="33"/>
      <c r="C59" s="33"/>
      <c r="D59" s="33"/>
      <c r="E59" s="33"/>
      <c r="F59" s="33"/>
      <c r="G59" s="28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1:13" ht="12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12.7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1:13" ht="12.7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1:13" ht="12.7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1:13" ht="12.7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1:13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1:13" ht="12.7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1:13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1:13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1:13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1:13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1:13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1:13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1:13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1:13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1:13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1:13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1:13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1:13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1:13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1:13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1:13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1:13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1:13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1:13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1:13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1:13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1:13" ht="12.7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1:13" ht="12.7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1:13" ht="12.7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1:13" ht="12.7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12.7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2.7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1:13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1:13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1:13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1:13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1:13" ht="12.7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1:13" ht="12.7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1:13" ht="12.7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1:13" ht="12.7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12.7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2.7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2.7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1:13" ht="12.7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1:13" ht="12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1:13" ht="12.7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1:13" ht="12.7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1:13" ht="12.7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1:13" ht="12.7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12.7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1:13" ht="12.7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1:13" ht="12.7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1:13" ht="12.7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1:13" ht="12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1:13" ht="12.7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2.7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1:13" ht="12.7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2.7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1:13" ht="12.7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1:13" ht="12.7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1:13" ht="12.7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12.7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1:13" ht="12.7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12.7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12.7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1:13" ht="12.7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1:13" ht="12.7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2.7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1:13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1:13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1:13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1:13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1:13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1:13" ht="12.7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1:13" ht="12.7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1:13" ht="12.7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  <row r="161" spans="1:13" ht="12.7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</row>
    <row r="162" spans="1:13" ht="12.7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</row>
    <row r="163" spans="1:13" ht="12.7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</row>
    <row r="164" spans="1:13" ht="12.7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</row>
    <row r="165" spans="1:13" ht="12.7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</row>
    <row r="166" spans="1:13" ht="12.7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</row>
    <row r="167" spans="1:13" ht="12.7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</row>
    <row r="168" spans="1:13" ht="12.7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</row>
    <row r="169" spans="1:13" ht="12.7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1:13" ht="12.7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1:13" ht="12.7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</row>
    <row r="172" spans="1:13" ht="12.7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</row>
    <row r="173" spans="1:13" ht="12.7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</row>
  </sheetData>
  <printOptions/>
  <pageMargins left="0.75" right="0.75" top="0.51" bottom="0.47" header="0.5" footer="0.5"/>
  <pageSetup horizontalDpi="300" verticalDpi="3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G33" sqref="G33:G34"/>
    </sheetView>
  </sheetViews>
  <sheetFormatPr defaultColWidth="9.00390625" defaultRowHeight="12.75"/>
  <cols>
    <col min="1" max="1" width="9.25390625" style="4" bestFit="1" customWidth="1"/>
    <col min="2" max="2" width="8.125" style="4" customWidth="1"/>
    <col min="3" max="3" width="9.125" style="4" customWidth="1"/>
    <col min="4" max="4" width="13.25390625" style="4" customWidth="1"/>
    <col min="5" max="5" width="10.25390625" style="4" customWidth="1"/>
    <col min="6" max="6" width="9.375" style="4" bestFit="1" customWidth="1"/>
    <col min="7" max="7" width="9.75390625" style="4" customWidth="1"/>
    <col min="8" max="8" width="10.00390625" style="4" customWidth="1"/>
    <col min="9" max="9" width="9.25390625" style="4" bestFit="1" customWidth="1"/>
    <col min="10" max="16384" width="9.125" style="4" customWidth="1"/>
  </cols>
  <sheetData>
    <row r="1" ht="12.75">
      <c r="F1" s="9"/>
    </row>
    <row r="2" spans="1:6" ht="12.75">
      <c r="A2" s="62" t="s">
        <v>303</v>
      </c>
      <c r="B2" s="10"/>
      <c r="C2" s="10" t="s">
        <v>262</v>
      </c>
      <c r="F2" s="9"/>
    </row>
    <row r="3" spans="3:6" ht="12.75">
      <c r="C3" s="89" t="s">
        <v>263</v>
      </c>
      <c r="F3" s="9"/>
    </row>
    <row r="4" spans="3:6" ht="12.75">
      <c r="C4" s="89"/>
      <c r="F4" s="9"/>
    </row>
    <row r="5" spans="1:9" ht="12.75">
      <c r="A5" s="10"/>
      <c r="B5" s="10"/>
      <c r="C5" s="10" t="s">
        <v>255</v>
      </c>
      <c r="D5" s="10"/>
      <c r="E5" s="10"/>
      <c r="F5" s="11"/>
      <c r="G5" s="10"/>
      <c r="H5" s="10"/>
      <c r="I5" s="12"/>
    </row>
    <row r="6" spans="1:9" ht="12.75">
      <c r="A6" s="10"/>
      <c r="B6" s="10"/>
      <c r="C6" s="10" t="s">
        <v>264</v>
      </c>
      <c r="D6" s="10"/>
      <c r="E6" s="10"/>
      <c r="F6" s="11"/>
      <c r="G6" s="10"/>
      <c r="H6" s="10"/>
      <c r="I6" s="10"/>
    </row>
    <row r="7" spans="1:9" ht="12.75">
      <c r="A7" s="10"/>
      <c r="B7" s="10"/>
      <c r="C7" s="10" t="s">
        <v>256</v>
      </c>
      <c r="D7" s="10"/>
      <c r="E7" s="10"/>
      <c r="F7" s="11"/>
      <c r="G7" s="10"/>
      <c r="H7" s="10"/>
      <c r="I7" s="10"/>
    </row>
    <row r="8" spans="1:9" ht="12.75">
      <c r="A8" s="10"/>
      <c r="B8" s="10"/>
      <c r="C8" s="10" t="s">
        <v>257</v>
      </c>
      <c r="D8" s="10"/>
      <c r="E8" s="10"/>
      <c r="F8" s="11"/>
      <c r="G8" s="10"/>
      <c r="H8" s="10"/>
      <c r="I8" s="10"/>
    </row>
    <row r="9" spans="1:9" ht="12.75">
      <c r="A9" s="10"/>
      <c r="B9" s="10"/>
      <c r="C9" s="10"/>
      <c r="D9" s="10"/>
      <c r="E9" s="10"/>
      <c r="F9" s="11"/>
      <c r="G9" s="10"/>
      <c r="H9" s="10"/>
      <c r="I9" s="10"/>
    </row>
    <row r="10" spans="1:9" ht="12.75">
      <c r="A10" s="10"/>
      <c r="B10" s="10"/>
      <c r="C10" s="10"/>
      <c r="D10" s="10"/>
      <c r="E10" s="10"/>
      <c r="F10" s="11"/>
      <c r="G10" s="10"/>
      <c r="H10" s="10"/>
      <c r="I10" s="10"/>
    </row>
    <row r="11" ht="12.75">
      <c r="A11" s="10" t="s">
        <v>110</v>
      </c>
    </row>
    <row r="12" ht="12.75">
      <c r="A12" s="10"/>
    </row>
    <row r="13" spans="1:2" ht="12.75">
      <c r="A13" s="10" t="s">
        <v>108</v>
      </c>
      <c r="B13" s="10" t="s">
        <v>109</v>
      </c>
    </row>
    <row r="15" spans="1:8" ht="12.75">
      <c r="A15" s="4" t="s">
        <v>258</v>
      </c>
      <c r="H15" s="25">
        <f>287211/5.94573</f>
        <v>48305.42254693704</v>
      </c>
    </row>
    <row r="17" ht="12.75">
      <c r="A17" s="4" t="s">
        <v>61</v>
      </c>
    </row>
    <row r="19" spans="1:11" ht="12.75">
      <c r="A19" s="4" t="s">
        <v>35</v>
      </c>
      <c r="B19" s="33"/>
      <c r="C19" s="33"/>
      <c r="D19" s="33"/>
      <c r="E19" s="33"/>
      <c r="F19" s="87" t="s">
        <v>31</v>
      </c>
      <c r="G19" s="87" t="s">
        <v>31</v>
      </c>
      <c r="H19" s="41"/>
      <c r="J19" s="41"/>
      <c r="K19" s="41"/>
    </row>
    <row r="20" spans="1:11" ht="12.75">
      <c r="A20" s="4" t="s">
        <v>36</v>
      </c>
      <c r="B20" s="45"/>
      <c r="C20" s="33" t="s">
        <v>33</v>
      </c>
      <c r="D20" s="33"/>
      <c r="E20" s="33"/>
      <c r="F20" s="87" t="s">
        <v>214</v>
      </c>
      <c r="G20" s="87" t="s">
        <v>34</v>
      </c>
      <c r="H20" s="41"/>
      <c r="J20" s="41"/>
      <c r="K20" s="41"/>
    </row>
    <row r="21" spans="1:11" ht="12.75">
      <c r="A21" s="4">
        <v>215</v>
      </c>
      <c r="C21" s="4" t="s">
        <v>2</v>
      </c>
      <c r="E21" s="4" t="s">
        <v>37</v>
      </c>
      <c r="F21" s="76">
        <v>37681</v>
      </c>
      <c r="G21" s="25">
        <v>1010</v>
      </c>
      <c r="H21" s="25"/>
      <c r="J21" s="15"/>
      <c r="K21" s="15"/>
    </row>
    <row r="22" spans="1:11" ht="12.75">
      <c r="A22" s="4">
        <v>215</v>
      </c>
      <c r="C22" s="4" t="s">
        <v>259</v>
      </c>
      <c r="E22" s="4" t="s">
        <v>38</v>
      </c>
      <c r="F22" s="76">
        <v>37681</v>
      </c>
      <c r="G22" s="25">
        <v>2390</v>
      </c>
      <c r="H22" s="25"/>
      <c r="J22" s="15"/>
      <c r="K22" s="15"/>
    </row>
    <row r="23" spans="1:11" ht="12.75">
      <c r="A23" s="4">
        <v>215</v>
      </c>
      <c r="C23" s="4" t="s">
        <v>39</v>
      </c>
      <c r="E23" s="4" t="s">
        <v>40</v>
      </c>
      <c r="F23" s="76">
        <v>37681</v>
      </c>
      <c r="G23" s="25">
        <v>505</v>
      </c>
      <c r="H23" s="25"/>
      <c r="J23" s="15"/>
      <c r="K23" s="15"/>
    </row>
    <row r="24" spans="1:11" ht="12.75">
      <c r="A24" s="4">
        <v>455</v>
      </c>
      <c r="C24" s="4" t="s">
        <v>259</v>
      </c>
      <c r="E24" s="4" t="s">
        <v>41</v>
      </c>
      <c r="F24" s="76">
        <v>37778</v>
      </c>
      <c r="G24" s="25">
        <v>2355</v>
      </c>
      <c r="H24" s="25"/>
      <c r="J24" s="15"/>
      <c r="K24" s="15"/>
    </row>
    <row r="25" spans="1:11" ht="12.75">
      <c r="A25" s="4">
        <v>455</v>
      </c>
      <c r="C25" s="4" t="s">
        <v>259</v>
      </c>
      <c r="E25" s="4" t="s">
        <v>41</v>
      </c>
      <c r="F25" s="76">
        <v>37778</v>
      </c>
      <c r="G25" s="25">
        <v>2355</v>
      </c>
      <c r="H25" s="25">
        <f>SUM(G21:G25)</f>
        <v>8615</v>
      </c>
      <c r="J25" s="15"/>
      <c r="K25" s="15"/>
    </row>
    <row r="26" spans="6:11" ht="12.75">
      <c r="F26" s="9"/>
      <c r="H26" s="13"/>
      <c r="I26" s="13"/>
      <c r="J26" s="13"/>
      <c r="K26" s="13"/>
    </row>
    <row r="28" spans="1:9" ht="12.75">
      <c r="A28" s="4" t="s">
        <v>42</v>
      </c>
      <c r="F28" s="85" t="s">
        <v>215</v>
      </c>
      <c r="G28" s="85"/>
      <c r="H28" s="137"/>
      <c r="I28" s="137"/>
    </row>
    <row r="29" spans="1:8" ht="12.75">
      <c r="A29" s="4" t="s">
        <v>36</v>
      </c>
      <c r="C29" s="4" t="s">
        <v>32</v>
      </c>
      <c r="F29" s="85" t="s">
        <v>214</v>
      </c>
      <c r="G29" s="85" t="s">
        <v>43</v>
      </c>
      <c r="H29" s="46"/>
    </row>
    <row r="30" spans="1:8" ht="12.75">
      <c r="A30" s="4" t="str">
        <f>"522"</f>
        <v>522</v>
      </c>
      <c r="C30" s="4" t="s">
        <v>2</v>
      </c>
      <c r="E30" s="4" t="s">
        <v>44</v>
      </c>
      <c r="F30" s="76">
        <v>37681</v>
      </c>
      <c r="G30" s="25">
        <v>505</v>
      </c>
      <c r="H30" s="25">
        <f>-G30</f>
        <v>-505</v>
      </c>
    </row>
    <row r="31" spans="5:8" ht="12.75">
      <c r="E31" s="13"/>
      <c r="F31" s="14"/>
      <c r="G31" s="25"/>
      <c r="H31" s="25"/>
    </row>
    <row r="32" spans="1:8" ht="12.75">
      <c r="A32" s="4" t="s">
        <v>260</v>
      </c>
      <c r="G32" s="25"/>
      <c r="H32" s="25">
        <f>+H15+H25+H30</f>
        <v>56415.42254693704</v>
      </c>
    </row>
    <row r="33" spans="7:8" ht="12.75">
      <c r="G33" s="25"/>
      <c r="H33" s="25"/>
    </row>
    <row r="34" spans="1:8" ht="12.75">
      <c r="A34" s="4" t="s">
        <v>62</v>
      </c>
      <c r="D34" s="4" t="s">
        <v>107</v>
      </c>
      <c r="G34" s="25"/>
      <c r="H34" s="53">
        <f>-H32*0.25</f>
        <v>-14103.85563673426</v>
      </c>
    </row>
    <row r="35" spans="7:8" ht="12.75">
      <c r="G35" s="25"/>
      <c r="H35" s="25"/>
    </row>
    <row r="36" spans="1:8" ht="13.5" thickBot="1">
      <c r="A36" s="4" t="s">
        <v>261</v>
      </c>
      <c r="G36" s="25"/>
      <c r="H36" s="60">
        <f>+H32+H34</f>
        <v>42311.56691020278</v>
      </c>
    </row>
    <row r="37" spans="7:8" ht="13.5" thickTop="1">
      <c r="G37" s="25"/>
      <c r="H37" s="25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J73"/>
  <sheetViews>
    <sheetView workbookViewId="0" topLeftCell="A1">
      <selection activeCell="F27" sqref="F27"/>
    </sheetView>
  </sheetViews>
  <sheetFormatPr defaultColWidth="9.00390625" defaultRowHeight="12.75"/>
  <cols>
    <col min="1" max="1" width="18.75390625" style="103" customWidth="1"/>
    <col min="2" max="2" width="13.25390625" style="103" bestFit="1" customWidth="1"/>
    <col min="3" max="3" width="14.25390625" style="103" customWidth="1"/>
    <col min="4" max="4" width="10.25390625" style="103" customWidth="1"/>
    <col min="5" max="5" width="9.875" style="103" customWidth="1"/>
    <col min="6" max="16384" width="9.125" style="103" customWidth="1"/>
  </cols>
  <sheetData>
    <row r="3" spans="1:2" ht="12.75">
      <c r="A3" s="106" t="s">
        <v>350</v>
      </c>
      <c r="B3" s="106" t="s">
        <v>388</v>
      </c>
    </row>
    <row r="5" ht="12.75">
      <c r="A5" s="103" t="s">
        <v>351</v>
      </c>
    </row>
    <row r="6" spans="1:5" ht="12.75">
      <c r="A6" s="103" t="s">
        <v>352</v>
      </c>
      <c r="C6" s="104"/>
      <c r="D6" s="105"/>
      <c r="E6" s="104"/>
    </row>
    <row r="7" spans="3:5" ht="12.75">
      <c r="C7" s="104"/>
      <c r="D7" s="105"/>
      <c r="E7" s="104"/>
    </row>
    <row r="8" spans="1:6" ht="12.75">
      <c r="A8" s="106" t="s">
        <v>353</v>
      </c>
      <c r="D8" s="104"/>
      <c r="E8" s="105"/>
      <c r="F8" s="104"/>
    </row>
    <row r="9" spans="1:9" ht="12.75">
      <c r="A9" s="102"/>
      <c r="B9" s="107" t="s">
        <v>354</v>
      </c>
      <c r="C9" s="108" t="s">
        <v>355</v>
      </c>
      <c r="D9" s="109"/>
      <c r="I9" s="104"/>
    </row>
    <row r="10" spans="1:4" ht="12.75">
      <c r="A10" s="110"/>
      <c r="B10" s="111" t="s">
        <v>356</v>
      </c>
      <c r="C10" s="112" t="s">
        <v>356</v>
      </c>
      <c r="D10" s="113"/>
    </row>
    <row r="11" spans="1:4" ht="12.75">
      <c r="A11" s="114"/>
      <c r="B11" s="115"/>
      <c r="C11" s="114"/>
      <c r="D11" s="114"/>
    </row>
    <row r="12" spans="1:4" ht="12.75">
      <c r="A12" s="114" t="s">
        <v>380</v>
      </c>
      <c r="B12" s="115">
        <v>100000</v>
      </c>
      <c r="C12" s="114"/>
      <c r="D12" s="114"/>
    </row>
    <row r="13" spans="1:4" ht="12.75">
      <c r="A13" s="114" t="s">
        <v>357</v>
      </c>
      <c r="B13" s="115">
        <v>400000</v>
      </c>
      <c r="C13" s="114">
        <v>8000</v>
      </c>
      <c r="D13" s="114" t="s">
        <v>358</v>
      </c>
    </row>
    <row r="14" spans="1:4" ht="24.75" customHeight="1">
      <c r="A14" s="116" t="s">
        <v>359</v>
      </c>
      <c r="B14" s="115">
        <v>1600000</v>
      </c>
      <c r="C14" s="114">
        <v>1000000</v>
      </c>
      <c r="D14" s="114" t="s">
        <v>360</v>
      </c>
    </row>
    <row r="15" spans="1:5" ht="24.75" customHeight="1">
      <c r="A15" s="116" t="s">
        <v>18</v>
      </c>
      <c r="B15" s="115">
        <v>1000000</v>
      </c>
      <c r="C15" s="114">
        <v>1000000</v>
      </c>
      <c r="D15" s="151" t="s">
        <v>361</v>
      </c>
      <c r="E15" s="151"/>
    </row>
    <row r="16" spans="1:4" ht="12.75">
      <c r="A16" s="114" t="s">
        <v>362</v>
      </c>
      <c r="B16" s="115">
        <v>750000</v>
      </c>
      <c r="C16" s="114">
        <v>-1000000</v>
      </c>
      <c r="D16" s="114" t="s">
        <v>363</v>
      </c>
    </row>
    <row r="17" spans="1:4" ht="12.75">
      <c r="A17" s="114" t="s">
        <v>364</v>
      </c>
      <c r="B17" s="115">
        <v>450000</v>
      </c>
      <c r="C17" s="114">
        <v>250000</v>
      </c>
      <c r="D17" s="114" t="s">
        <v>236</v>
      </c>
    </row>
    <row r="18" spans="1:4" ht="25.5">
      <c r="A18" s="116" t="s">
        <v>365</v>
      </c>
      <c r="B18" s="115">
        <v>700000</v>
      </c>
      <c r="C18" s="114">
        <f>3992000-250000</f>
        <v>3742000</v>
      </c>
      <c r="D18" s="114" t="s">
        <v>366</v>
      </c>
    </row>
    <row r="19" spans="1:4" ht="12.75">
      <c r="A19" s="114"/>
      <c r="B19" s="117">
        <f>SUM(B12:B18)</f>
        <v>5000000</v>
      </c>
      <c r="C19" s="108">
        <f>SUM(C13:C18)</f>
        <v>5000000</v>
      </c>
      <c r="D19" s="110"/>
    </row>
    <row r="20" spans="1:4" ht="12.75">
      <c r="A20" s="114"/>
      <c r="B20" s="118"/>
      <c r="C20" s="118"/>
      <c r="D20" s="110"/>
    </row>
    <row r="21" ht="12.75">
      <c r="A21" s="103" t="s">
        <v>367</v>
      </c>
    </row>
    <row r="22" ht="12.75">
      <c r="A22" s="103" t="s">
        <v>408</v>
      </c>
    </row>
    <row r="24" spans="2:3" ht="12.75">
      <c r="B24" s="119" t="s">
        <v>368</v>
      </c>
      <c r="C24" s="119" t="s">
        <v>369</v>
      </c>
    </row>
    <row r="25" spans="1:3" ht="12.75">
      <c r="A25" s="103" t="s">
        <v>380</v>
      </c>
      <c r="B25" s="120">
        <v>100000</v>
      </c>
      <c r="C25" s="121"/>
    </row>
    <row r="26" spans="1:2" ht="12.75">
      <c r="A26" s="103" t="s">
        <v>357</v>
      </c>
      <c r="B26" s="116">
        <v>400000</v>
      </c>
    </row>
    <row r="27" spans="1:3" ht="25.5">
      <c r="A27" s="116" t="s">
        <v>359</v>
      </c>
      <c r="B27" s="116">
        <v>1600000</v>
      </c>
      <c r="C27" s="116"/>
    </row>
    <row r="28" spans="1:3" ht="12.75">
      <c r="A28" s="116" t="s">
        <v>18</v>
      </c>
      <c r="B28" s="116">
        <v>200000</v>
      </c>
      <c r="C28" s="116">
        <v>800000</v>
      </c>
    </row>
    <row r="29" spans="1:3" ht="12.75">
      <c r="A29" s="116"/>
      <c r="B29" s="116"/>
      <c r="C29" s="116"/>
    </row>
    <row r="30" spans="1:4" ht="12.75">
      <c r="A30" s="103" t="s">
        <v>385</v>
      </c>
      <c r="D30" s="104"/>
    </row>
    <row r="31" spans="1:4" ht="12.75">
      <c r="A31" s="103" t="s">
        <v>380</v>
      </c>
      <c r="C31" s="104">
        <v>5000</v>
      </c>
      <c r="D31" s="103" t="s">
        <v>383</v>
      </c>
    </row>
    <row r="32" spans="1:4" ht="12.75">
      <c r="A32" s="103" t="s">
        <v>370</v>
      </c>
      <c r="C32" s="104">
        <v>145000</v>
      </c>
      <c r="D32" s="103" t="s">
        <v>383</v>
      </c>
    </row>
    <row r="33" spans="1:4" ht="12.75">
      <c r="A33" s="103" t="s">
        <v>18</v>
      </c>
      <c r="C33" s="104">
        <v>100000</v>
      </c>
      <c r="D33" s="103" t="s">
        <v>409</v>
      </c>
    </row>
    <row r="34" ht="12.75">
      <c r="D34" s="104"/>
    </row>
    <row r="35" spans="1:4" ht="12.75">
      <c r="A35" s="103" t="s">
        <v>386</v>
      </c>
      <c r="D35" s="104"/>
    </row>
    <row r="36" spans="1:10" ht="12.75">
      <c r="A36" s="103" t="s">
        <v>387</v>
      </c>
      <c r="D36" s="104"/>
      <c r="I36" s="104"/>
      <c r="J36" s="105"/>
    </row>
    <row r="37" spans="4:10" ht="12.75">
      <c r="D37" s="104"/>
      <c r="I37" s="104"/>
      <c r="J37" s="105"/>
    </row>
    <row r="38" spans="3:10" ht="49.5" customHeight="1">
      <c r="C38" s="122" t="s">
        <v>410</v>
      </c>
      <c r="D38" s="123" t="s">
        <v>371</v>
      </c>
      <c r="E38" s="123" t="s">
        <v>372</v>
      </c>
      <c r="I38" s="104"/>
      <c r="J38" s="105"/>
    </row>
    <row r="39" spans="1:10" ht="12.75">
      <c r="A39" s="103" t="s">
        <v>373</v>
      </c>
      <c r="C39" s="104">
        <v>200000</v>
      </c>
      <c r="D39" s="105">
        <v>0.2</v>
      </c>
      <c r="E39" s="104">
        <f>0.2*100000</f>
        <v>20000</v>
      </c>
      <c r="F39" s="103" t="s">
        <v>374</v>
      </c>
      <c r="I39" s="104"/>
      <c r="J39" s="105"/>
    </row>
    <row r="40" spans="1:6" ht="12.75">
      <c r="A40" s="103" t="s">
        <v>375</v>
      </c>
      <c r="C40" s="104">
        <v>800000</v>
      </c>
      <c r="D40" s="105">
        <v>0.8</v>
      </c>
      <c r="E40" s="104">
        <f>0.8*100000</f>
        <v>80000</v>
      </c>
      <c r="F40" s="103" t="s">
        <v>376</v>
      </c>
    </row>
    <row r="41" spans="3:5" ht="12.75">
      <c r="C41" s="104"/>
      <c r="D41" s="105"/>
      <c r="E41" s="104"/>
    </row>
    <row r="43" ht="12.75">
      <c r="A43" s="103" t="s">
        <v>377</v>
      </c>
    </row>
    <row r="45" ht="12.75">
      <c r="A45" s="106" t="s">
        <v>378</v>
      </c>
    </row>
    <row r="46" spans="1:4" ht="12.75">
      <c r="A46" s="102"/>
      <c r="B46" s="107" t="s">
        <v>354</v>
      </c>
      <c r="C46" s="108" t="s">
        <v>355</v>
      </c>
      <c r="D46" s="109"/>
    </row>
    <row r="47" spans="1:4" ht="12.75">
      <c r="A47" s="110"/>
      <c r="B47" s="111" t="s">
        <v>356</v>
      </c>
      <c r="C47" s="112" t="s">
        <v>356</v>
      </c>
      <c r="D47" s="113"/>
    </row>
    <row r="48" spans="1:4" ht="12.75">
      <c r="A48" s="114"/>
      <c r="B48" s="115"/>
      <c r="C48" s="114"/>
      <c r="D48" s="114"/>
    </row>
    <row r="49" spans="1:4" ht="12.75">
      <c r="A49" s="114" t="s">
        <v>380</v>
      </c>
      <c r="B49" s="115">
        <v>100000</v>
      </c>
      <c r="C49" s="114"/>
      <c r="D49" s="114"/>
    </row>
    <row r="50" spans="1:4" ht="12.75">
      <c r="A50" s="114" t="s">
        <v>357</v>
      </c>
      <c r="B50" s="115">
        <v>400000</v>
      </c>
      <c r="C50" s="114">
        <v>8000</v>
      </c>
      <c r="D50" s="114" t="s">
        <v>358</v>
      </c>
    </row>
    <row r="51" spans="1:4" ht="25.5">
      <c r="A51" s="116" t="s">
        <v>359</v>
      </c>
      <c r="B51" s="115">
        <v>1600000</v>
      </c>
      <c r="C51" s="114">
        <v>500000</v>
      </c>
      <c r="D51" s="114" t="s">
        <v>360</v>
      </c>
    </row>
    <row r="52" spans="1:5" ht="24" customHeight="1">
      <c r="A52" s="116" t="s">
        <v>18</v>
      </c>
      <c r="B52" s="115">
        <v>200000</v>
      </c>
      <c r="C52" s="114">
        <v>500000</v>
      </c>
      <c r="D52" s="151" t="s">
        <v>361</v>
      </c>
      <c r="E52" s="151"/>
    </row>
    <row r="53" spans="1:4" ht="12.75">
      <c r="A53" s="114" t="s">
        <v>362</v>
      </c>
      <c r="B53" s="115"/>
      <c r="C53" s="114">
        <v>-500000</v>
      </c>
      <c r="D53" s="114" t="s">
        <v>363</v>
      </c>
    </row>
    <row r="54" spans="1:4" ht="12.75">
      <c r="A54" s="114" t="s">
        <v>364</v>
      </c>
      <c r="B54" s="115">
        <v>100000</v>
      </c>
      <c r="C54" s="114">
        <v>170000</v>
      </c>
      <c r="D54" s="114" t="s">
        <v>236</v>
      </c>
    </row>
    <row r="55" spans="1:4" ht="25.5">
      <c r="A55" s="116" t="s">
        <v>365</v>
      </c>
      <c r="B55" s="115">
        <v>100000</v>
      </c>
      <c r="C55" s="114">
        <f>1792000-170000+200000</f>
        <v>1822000</v>
      </c>
      <c r="D55" s="114" t="s">
        <v>366</v>
      </c>
    </row>
    <row r="56" spans="1:4" ht="12.75">
      <c r="A56" s="114"/>
      <c r="B56" s="117">
        <f>SUM(B49:B55)</f>
        <v>2500000</v>
      </c>
      <c r="C56" s="108">
        <f>SUM(C50:C55)</f>
        <v>2500000</v>
      </c>
      <c r="D56" s="110"/>
    </row>
    <row r="58" ht="12.75">
      <c r="A58" s="124" t="s">
        <v>379</v>
      </c>
    </row>
    <row r="59" spans="1:4" ht="12.75">
      <c r="A59" s="102"/>
      <c r="B59" s="107" t="s">
        <v>354</v>
      </c>
      <c r="C59" s="108" t="s">
        <v>355</v>
      </c>
      <c r="D59" s="109"/>
    </row>
    <row r="60" spans="1:4" ht="12.75">
      <c r="A60" s="110"/>
      <c r="B60" s="111" t="s">
        <v>356</v>
      </c>
      <c r="C60" s="112" t="s">
        <v>356</v>
      </c>
      <c r="D60" s="113"/>
    </row>
    <row r="61" spans="1:4" ht="12.75">
      <c r="A61" s="114"/>
      <c r="B61" s="115"/>
      <c r="C61" s="114"/>
      <c r="D61" s="114"/>
    </row>
    <row r="62" spans="1:4" ht="12.75">
      <c r="A62" s="114" t="s">
        <v>357</v>
      </c>
      <c r="B62" s="115"/>
      <c r="C62" s="114">
        <v>8000</v>
      </c>
      <c r="D62" s="114" t="s">
        <v>358</v>
      </c>
    </row>
    <row r="63" spans="1:4" ht="25.5">
      <c r="A63" s="116" t="s">
        <v>359</v>
      </c>
      <c r="B63" s="115"/>
      <c r="C63" s="114">
        <v>492000</v>
      </c>
      <c r="D63" s="114" t="s">
        <v>360</v>
      </c>
    </row>
    <row r="64" spans="1:6" ht="24" customHeight="1">
      <c r="A64" s="116" t="s">
        <v>18</v>
      </c>
      <c r="B64" s="115">
        <v>800000</v>
      </c>
      <c r="C64" s="114">
        <v>500000</v>
      </c>
      <c r="D64" s="151" t="s">
        <v>361</v>
      </c>
      <c r="E64" s="151"/>
      <c r="F64" s="114"/>
    </row>
    <row r="65" spans="1:4" ht="12.75">
      <c r="A65" s="114" t="s">
        <v>362</v>
      </c>
      <c r="B65" s="115">
        <v>750000</v>
      </c>
      <c r="C65" s="114">
        <v>-500000</v>
      </c>
      <c r="D65" s="114" t="s">
        <v>363</v>
      </c>
    </row>
    <row r="66" spans="1:4" ht="12.75">
      <c r="A66" s="114" t="s">
        <v>364</v>
      </c>
      <c r="B66" s="115">
        <v>350000</v>
      </c>
      <c r="C66" s="114">
        <v>80000</v>
      </c>
      <c r="D66" s="114" t="s">
        <v>236</v>
      </c>
    </row>
    <row r="67" spans="1:4" ht="25.5">
      <c r="A67" s="116" t="s">
        <v>365</v>
      </c>
      <c r="B67" s="115">
        <v>600000</v>
      </c>
      <c r="C67" s="114">
        <f>2200000-C66-200000</f>
        <v>1920000</v>
      </c>
      <c r="D67" s="114" t="s">
        <v>366</v>
      </c>
    </row>
    <row r="68" spans="1:4" ht="12.75">
      <c r="A68" s="114"/>
      <c r="B68" s="117">
        <f>SUM(B62:B67)</f>
        <v>2500000</v>
      </c>
      <c r="C68" s="108">
        <f>SUM(C62:C67)</f>
        <v>2500000</v>
      </c>
      <c r="D68" s="110"/>
    </row>
    <row r="70" ht="12.75">
      <c r="A70" s="114" t="s">
        <v>438</v>
      </c>
    </row>
    <row r="71" ht="12.75">
      <c r="A71" s="114" t="s">
        <v>384</v>
      </c>
    </row>
    <row r="72" ht="12.75">
      <c r="A72" s="114" t="s">
        <v>381</v>
      </c>
    </row>
    <row r="73" ht="12.75">
      <c r="A73" s="103" t="s">
        <v>382</v>
      </c>
    </row>
  </sheetData>
  <mergeCells count="3">
    <mergeCell ref="D64:E64"/>
    <mergeCell ref="D52:E52"/>
    <mergeCell ref="D15:E15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3:I74"/>
  <sheetViews>
    <sheetView tabSelected="1" workbookViewId="0" topLeftCell="A15">
      <selection activeCell="K25" sqref="K25"/>
    </sheetView>
  </sheetViews>
  <sheetFormatPr defaultColWidth="9.00390625" defaultRowHeight="12.75"/>
  <cols>
    <col min="1" max="1" width="18.75390625" style="147" customWidth="1"/>
    <col min="2" max="3" width="13.25390625" style="147" bestFit="1" customWidth="1"/>
    <col min="4" max="4" width="10.25390625" style="147" customWidth="1"/>
    <col min="5" max="5" width="9.875" style="147" customWidth="1"/>
    <col min="6" max="6" width="9.75390625" style="147" customWidth="1"/>
    <col min="7" max="7" width="7.75390625" style="147" customWidth="1"/>
    <col min="8" max="16384" width="9.125" style="147" customWidth="1"/>
  </cols>
  <sheetData>
    <row r="3" spans="1:2" ht="12.75">
      <c r="A3" s="146" t="s">
        <v>439</v>
      </c>
      <c r="B3" s="146" t="s">
        <v>440</v>
      </c>
    </row>
    <row r="5" s="103" customFormat="1" ht="12.75">
      <c r="A5" s="103" t="s">
        <v>351</v>
      </c>
    </row>
    <row r="6" spans="1:5" s="103" customFormat="1" ht="12.75">
      <c r="A6" s="103" t="s">
        <v>352</v>
      </c>
      <c r="C6" s="104"/>
      <c r="D6" s="105"/>
      <c r="E6" s="104"/>
    </row>
    <row r="7" spans="3:5" s="103" customFormat="1" ht="12.75">
      <c r="C7" s="104"/>
      <c r="D7" s="105"/>
      <c r="E7" s="104"/>
    </row>
    <row r="8" spans="1:6" s="103" customFormat="1" ht="12.75">
      <c r="A8" s="106" t="s">
        <v>353</v>
      </c>
      <c r="D8" s="104"/>
      <c r="E8" s="105"/>
      <c r="F8" s="104"/>
    </row>
    <row r="9" spans="1:9" s="103" customFormat="1" ht="12.75">
      <c r="A9" s="102"/>
      <c r="B9" s="107" t="s">
        <v>354</v>
      </c>
      <c r="C9" s="108" t="s">
        <v>355</v>
      </c>
      <c r="D9" s="109"/>
      <c r="I9" s="104"/>
    </row>
    <row r="10" spans="1:4" s="103" customFormat="1" ht="12.75">
      <c r="A10" s="110"/>
      <c r="B10" s="111" t="s">
        <v>356</v>
      </c>
      <c r="C10" s="112" t="s">
        <v>356</v>
      </c>
      <c r="D10" s="113"/>
    </row>
    <row r="11" spans="1:4" s="103" customFormat="1" ht="12.75">
      <c r="A11" s="114"/>
      <c r="B11" s="115"/>
      <c r="C11" s="114"/>
      <c r="D11" s="114"/>
    </row>
    <row r="12" spans="1:4" s="103" customFormat="1" ht="12.75">
      <c r="A12" s="114" t="s">
        <v>380</v>
      </c>
      <c r="B12" s="115">
        <v>100000</v>
      </c>
      <c r="C12" s="114"/>
      <c r="D12" s="114"/>
    </row>
    <row r="13" spans="1:4" s="103" customFormat="1" ht="12.75">
      <c r="A13" s="114" t="s">
        <v>357</v>
      </c>
      <c r="B13" s="115">
        <v>400000</v>
      </c>
      <c r="C13" s="114">
        <v>8000</v>
      </c>
      <c r="D13" s="114" t="s">
        <v>358</v>
      </c>
    </row>
    <row r="14" spans="1:4" s="103" customFormat="1" ht="24.75" customHeight="1">
      <c r="A14" s="116" t="s">
        <v>359</v>
      </c>
      <c r="B14" s="115">
        <v>1600000</v>
      </c>
      <c r="C14" s="114">
        <v>1000000</v>
      </c>
      <c r="D14" s="114" t="s">
        <v>360</v>
      </c>
    </row>
    <row r="15" spans="1:5" s="103" customFormat="1" ht="24.75" customHeight="1">
      <c r="A15" s="116" t="s">
        <v>18</v>
      </c>
      <c r="B15" s="115">
        <v>1000000</v>
      </c>
      <c r="C15" s="114">
        <v>1000000</v>
      </c>
      <c r="D15" s="151" t="s">
        <v>361</v>
      </c>
      <c r="E15" s="151"/>
    </row>
    <row r="16" spans="1:4" s="103" customFormat="1" ht="12.75">
      <c r="A16" s="114" t="s">
        <v>362</v>
      </c>
      <c r="B16" s="115">
        <v>750000</v>
      </c>
      <c r="C16" s="114">
        <v>-1000000</v>
      </c>
      <c r="D16" s="114" t="s">
        <v>363</v>
      </c>
    </row>
    <row r="17" spans="1:4" s="103" customFormat="1" ht="12.75">
      <c r="A17" s="114" t="s">
        <v>364</v>
      </c>
      <c r="B17" s="115">
        <v>450000</v>
      </c>
      <c r="C17" s="114">
        <v>250000</v>
      </c>
      <c r="D17" s="114" t="s">
        <v>236</v>
      </c>
    </row>
    <row r="18" spans="1:4" s="103" customFormat="1" ht="25.5">
      <c r="A18" s="116" t="s">
        <v>365</v>
      </c>
      <c r="B18" s="115">
        <v>700000</v>
      </c>
      <c r="C18" s="114">
        <f>3992000-250000</f>
        <v>3742000</v>
      </c>
      <c r="D18" s="114" t="s">
        <v>366</v>
      </c>
    </row>
    <row r="19" spans="1:4" s="103" customFormat="1" ht="12.75">
      <c r="A19" s="114"/>
      <c r="B19" s="117">
        <f>SUM(B12:B18)</f>
        <v>5000000</v>
      </c>
      <c r="C19" s="108">
        <f>SUM(C13:C18)</f>
        <v>5000000</v>
      </c>
      <c r="D19" s="110"/>
    </row>
    <row r="20" spans="1:4" s="103" customFormat="1" ht="12.75">
      <c r="A20" s="114"/>
      <c r="B20" s="118"/>
      <c r="C20" s="118"/>
      <c r="D20" s="110"/>
    </row>
    <row r="21" spans="1:4" s="103" customFormat="1" ht="12.75">
      <c r="A21" s="114" t="s">
        <v>449</v>
      </c>
      <c r="B21" s="118"/>
      <c r="C21" s="118"/>
      <c r="D21" s="110"/>
    </row>
    <row r="22" spans="1:4" s="103" customFormat="1" ht="12.75">
      <c r="A22" s="114" t="s">
        <v>450</v>
      </c>
      <c r="B22" s="118"/>
      <c r="C22" s="118"/>
      <c r="D22" s="110"/>
    </row>
    <row r="23" spans="1:4" s="103" customFormat="1" ht="12.75">
      <c r="A23" s="114" t="s">
        <v>451</v>
      </c>
      <c r="B23" s="118"/>
      <c r="C23" s="118"/>
      <c r="D23" s="110"/>
    </row>
    <row r="24" spans="1:4" s="103" customFormat="1" ht="12.75">
      <c r="A24" s="114"/>
      <c r="B24" s="118"/>
      <c r="C24" s="118"/>
      <c r="D24" s="110"/>
    </row>
    <row r="25" spans="1:9" s="103" customFormat="1" ht="12.75">
      <c r="A25" s="102"/>
      <c r="B25" s="152" t="s">
        <v>445</v>
      </c>
      <c r="C25" s="153"/>
      <c r="D25" s="109"/>
      <c r="I25" s="104"/>
    </row>
    <row r="26" spans="1:4" s="103" customFormat="1" ht="12.75">
      <c r="A26" s="110"/>
      <c r="B26" s="111" t="s">
        <v>356</v>
      </c>
      <c r="C26" s="112" t="s">
        <v>356</v>
      </c>
      <c r="D26" s="113"/>
    </row>
    <row r="27" spans="1:4" s="103" customFormat="1" ht="12.75">
      <c r="A27" s="114"/>
      <c r="B27" s="115"/>
      <c r="C27" s="114"/>
      <c r="D27" s="114"/>
    </row>
    <row r="28" spans="1:4" s="103" customFormat="1" ht="12.75">
      <c r="A28" s="114" t="s">
        <v>380</v>
      </c>
      <c r="B28" s="115">
        <v>100000</v>
      </c>
      <c r="C28" s="114"/>
      <c r="D28" s="114"/>
    </row>
    <row r="29" spans="1:4" s="103" customFormat="1" ht="12.75">
      <c r="A29" s="114" t="s">
        <v>357</v>
      </c>
      <c r="B29" s="115">
        <v>600000</v>
      </c>
      <c r="C29" s="114">
        <v>8000</v>
      </c>
      <c r="D29" s="114" t="s">
        <v>358</v>
      </c>
    </row>
    <row r="30" spans="1:4" s="103" customFormat="1" ht="24.75" customHeight="1">
      <c r="A30" s="116" t="s">
        <v>359</v>
      </c>
      <c r="B30" s="115">
        <v>2000000</v>
      </c>
      <c r="C30" s="114">
        <v>1000000</v>
      </c>
      <c r="D30" s="114" t="s">
        <v>360</v>
      </c>
    </row>
    <row r="31" spans="1:5" s="103" customFormat="1" ht="24.75" customHeight="1">
      <c r="A31" s="116" t="s">
        <v>18</v>
      </c>
      <c r="B31" s="115">
        <v>1000000</v>
      </c>
      <c r="C31" s="114">
        <v>1000000</v>
      </c>
      <c r="D31" s="151" t="s">
        <v>361</v>
      </c>
      <c r="E31" s="151"/>
    </row>
    <row r="32" spans="1:5" s="103" customFormat="1" ht="24.75" customHeight="1">
      <c r="A32" s="116"/>
      <c r="B32" s="115"/>
      <c r="C32" s="114">
        <f>-1000000</f>
        <v>-1000000</v>
      </c>
      <c r="D32" s="114" t="s">
        <v>441</v>
      </c>
      <c r="E32" s="145"/>
    </row>
    <row r="33" spans="1:6" s="103" customFormat="1" ht="24" customHeight="1">
      <c r="A33" s="114" t="s">
        <v>362</v>
      </c>
      <c r="B33" s="115">
        <v>750000</v>
      </c>
      <c r="C33" s="114">
        <f>600000</f>
        <v>600000</v>
      </c>
      <c r="D33" s="151" t="s">
        <v>446</v>
      </c>
      <c r="E33" s="151"/>
      <c r="F33" s="154"/>
    </row>
    <row r="34" spans="1:4" s="103" customFormat="1" ht="12.75">
      <c r="A34" s="114" t="s">
        <v>364</v>
      </c>
      <c r="B34" s="115">
        <v>450000</v>
      </c>
      <c r="C34" s="114">
        <v>250000</v>
      </c>
      <c r="D34" s="114" t="s">
        <v>236</v>
      </c>
    </row>
    <row r="35" spans="1:4" s="103" customFormat="1" ht="25.5">
      <c r="A35" s="116" t="s">
        <v>365</v>
      </c>
      <c r="B35" s="115">
        <v>700000</v>
      </c>
      <c r="C35" s="114">
        <f>3992000-250000</f>
        <v>3742000</v>
      </c>
      <c r="D35" s="114" t="s">
        <v>366</v>
      </c>
    </row>
    <row r="36" spans="1:4" s="103" customFormat="1" ht="12.75">
      <c r="A36" s="114"/>
      <c r="B36" s="117">
        <f>SUM(B28:B35)</f>
        <v>5600000</v>
      </c>
      <c r="C36" s="108">
        <f>SUM(C29:C35)</f>
        <v>5600000</v>
      </c>
      <c r="D36" s="110"/>
    </row>
    <row r="37" spans="1:4" s="103" customFormat="1" ht="12.75">
      <c r="A37" s="114"/>
      <c r="B37" s="118"/>
      <c r="C37" s="118"/>
      <c r="D37" s="110"/>
    </row>
    <row r="38" spans="1:4" s="103" customFormat="1" ht="12.75">
      <c r="A38" s="114" t="s">
        <v>442</v>
      </c>
      <c r="B38" s="118"/>
      <c r="C38" s="118"/>
      <c r="D38" s="110"/>
    </row>
    <row r="39" spans="1:4" s="103" customFormat="1" ht="12.75">
      <c r="A39" s="103" t="s">
        <v>380</v>
      </c>
      <c r="C39" s="104">
        <v>5000</v>
      </c>
      <c r="D39" s="103" t="s">
        <v>383</v>
      </c>
    </row>
    <row r="40" spans="1:4" s="103" customFormat="1" ht="12.75">
      <c r="A40" s="103" t="s">
        <v>370</v>
      </c>
      <c r="C40" s="104">
        <v>145000</v>
      </c>
      <c r="D40" s="103" t="s">
        <v>443</v>
      </c>
    </row>
    <row r="41" spans="1:4" s="103" customFormat="1" ht="12.75">
      <c r="A41" s="103" t="s">
        <v>18</v>
      </c>
      <c r="C41" s="104">
        <v>100000</v>
      </c>
      <c r="D41" s="103" t="s">
        <v>383</v>
      </c>
    </row>
    <row r="42" s="103" customFormat="1" ht="12.75">
      <c r="D42" s="104"/>
    </row>
    <row r="43" s="103" customFormat="1" ht="12.75">
      <c r="A43" s="103" t="s">
        <v>448</v>
      </c>
    </row>
    <row r="44" s="103" customFormat="1" ht="12.75">
      <c r="A44" s="103" t="s">
        <v>447</v>
      </c>
    </row>
    <row r="45" s="103" customFormat="1" ht="12.75"/>
    <row r="46" s="103" customFormat="1" ht="12.75">
      <c r="A46" s="106" t="s">
        <v>378</v>
      </c>
    </row>
    <row r="47" spans="1:4" s="103" customFormat="1" ht="12.75">
      <c r="A47" s="102"/>
      <c r="B47" s="107" t="s">
        <v>354</v>
      </c>
      <c r="C47" s="108" t="s">
        <v>355</v>
      </c>
      <c r="D47" s="109"/>
    </row>
    <row r="48" spans="1:4" s="103" customFormat="1" ht="12.75">
      <c r="A48" s="110"/>
      <c r="B48" s="111" t="s">
        <v>356</v>
      </c>
      <c r="C48" s="112" t="s">
        <v>356</v>
      </c>
      <c r="D48" s="113"/>
    </row>
    <row r="49" spans="1:4" s="103" customFormat="1" ht="12.75">
      <c r="A49" s="114"/>
      <c r="B49" s="115"/>
      <c r="C49" s="114"/>
      <c r="D49" s="114"/>
    </row>
    <row r="50" spans="1:4" s="103" customFormat="1" ht="12.75">
      <c r="A50" s="114" t="s">
        <v>380</v>
      </c>
      <c r="B50" s="115">
        <v>100000</v>
      </c>
      <c r="C50" s="114">
        <v>8000</v>
      </c>
      <c r="D50" s="114" t="s">
        <v>358</v>
      </c>
    </row>
    <row r="51" spans="1:4" s="103" customFormat="1" ht="12.75">
      <c r="A51" s="114" t="s">
        <v>357</v>
      </c>
      <c r="B51" s="115"/>
      <c r="C51" s="114">
        <v>500000</v>
      </c>
      <c r="D51" s="103" t="s">
        <v>360</v>
      </c>
    </row>
    <row r="52" spans="1:5" s="103" customFormat="1" ht="24" customHeight="1">
      <c r="A52" s="116" t="s">
        <v>359</v>
      </c>
      <c r="B52" s="115"/>
      <c r="C52" s="114">
        <v>500000</v>
      </c>
      <c r="D52" s="151" t="s">
        <v>361</v>
      </c>
      <c r="E52" s="151"/>
    </row>
    <row r="53" spans="1:4" s="103" customFormat="1" ht="24" customHeight="1">
      <c r="A53" s="116" t="s">
        <v>18</v>
      </c>
      <c r="B53" s="115">
        <v>1000000</v>
      </c>
      <c r="C53" s="114">
        <v>-250000</v>
      </c>
      <c r="D53" s="114" t="s">
        <v>363</v>
      </c>
    </row>
    <row r="54" spans="1:4" s="103" customFormat="1" ht="12.75">
      <c r="A54" s="114" t="s">
        <v>362</v>
      </c>
      <c r="B54" s="115">
        <f>B33</f>
        <v>750000</v>
      </c>
      <c r="C54" s="114">
        <v>105000</v>
      </c>
      <c r="D54" s="114" t="s">
        <v>236</v>
      </c>
    </row>
    <row r="55" spans="1:4" s="103" customFormat="1" ht="12.75">
      <c r="A55" s="114" t="s">
        <v>364</v>
      </c>
      <c r="B55" s="115">
        <v>200000</v>
      </c>
      <c r="C55" s="114">
        <v>1622000</v>
      </c>
      <c r="D55" s="114" t="s">
        <v>366</v>
      </c>
    </row>
    <row r="56" spans="1:7" s="103" customFormat="1" ht="25.5">
      <c r="A56" s="116" t="s">
        <v>365</v>
      </c>
      <c r="B56" s="115">
        <v>435000</v>
      </c>
      <c r="G56" s="104"/>
    </row>
    <row r="57" spans="1:4" s="103" customFormat="1" ht="12.75">
      <c r="A57" s="114"/>
      <c r="B57" s="117">
        <f>SUM(B50:B56)</f>
        <v>2485000</v>
      </c>
      <c r="C57" s="108">
        <f>SUM(C50:C56)</f>
        <v>2485000</v>
      </c>
      <c r="D57" s="110"/>
    </row>
    <row r="58" s="103" customFormat="1" ht="12.75"/>
    <row r="59" s="103" customFormat="1" ht="12.75">
      <c r="A59" s="124" t="s">
        <v>379</v>
      </c>
    </row>
    <row r="60" spans="1:4" s="103" customFormat="1" ht="12.75">
      <c r="A60" s="102"/>
      <c r="B60" s="107" t="s">
        <v>354</v>
      </c>
      <c r="C60" s="108" t="s">
        <v>355</v>
      </c>
      <c r="D60" s="109"/>
    </row>
    <row r="61" spans="1:4" s="103" customFormat="1" ht="12.75">
      <c r="A61" s="110"/>
      <c r="B61" s="111" t="s">
        <v>356</v>
      </c>
      <c r="C61" s="112" t="s">
        <v>356</v>
      </c>
      <c r="D61" s="113"/>
    </row>
    <row r="62" spans="1:4" s="103" customFormat="1" ht="12.75">
      <c r="A62" s="114"/>
      <c r="B62" s="115"/>
      <c r="C62" s="114"/>
      <c r="D62" s="114"/>
    </row>
    <row r="63" spans="1:4" s="103" customFormat="1" ht="12.75">
      <c r="A63" s="114" t="s">
        <v>357</v>
      </c>
      <c r="B63" s="115">
        <f>B29</f>
        <v>600000</v>
      </c>
      <c r="C63" s="114">
        <v>8000</v>
      </c>
      <c r="D63" s="114" t="s">
        <v>358</v>
      </c>
    </row>
    <row r="64" spans="1:4" s="103" customFormat="1" ht="25.5">
      <c r="A64" s="116" t="s">
        <v>359</v>
      </c>
      <c r="B64" s="115">
        <v>2000000</v>
      </c>
      <c r="C64" s="114">
        <v>492000</v>
      </c>
      <c r="D64" s="114" t="s">
        <v>360</v>
      </c>
    </row>
    <row r="65" spans="1:6" s="103" customFormat="1" ht="24" customHeight="1">
      <c r="A65" s="116" t="s">
        <v>18</v>
      </c>
      <c r="B65" s="115"/>
      <c r="C65" s="114">
        <f>500000+3115000-2671000+156000</f>
        <v>1100000</v>
      </c>
      <c r="D65" s="151" t="s">
        <v>361</v>
      </c>
      <c r="E65" s="151"/>
      <c r="F65" s="114"/>
    </row>
    <row r="66" spans="1:4" s="103" customFormat="1" ht="12.75">
      <c r="A66" s="114" t="s">
        <v>362</v>
      </c>
      <c r="B66" s="115"/>
      <c r="C66" s="114">
        <f>C32-C53</f>
        <v>-750000</v>
      </c>
      <c r="D66" s="114" t="s">
        <v>363</v>
      </c>
    </row>
    <row r="67" spans="1:4" s="103" customFormat="1" ht="12.75">
      <c r="A67" s="114" t="s">
        <v>364</v>
      </c>
      <c r="B67" s="115">
        <f>B34-B55</f>
        <v>250000</v>
      </c>
      <c r="C67" s="114">
        <v>145000</v>
      </c>
      <c r="D67" s="114" t="s">
        <v>236</v>
      </c>
    </row>
    <row r="68" spans="1:4" s="103" customFormat="1" ht="25.5">
      <c r="A68" s="116" t="s">
        <v>365</v>
      </c>
      <c r="B68" s="115">
        <v>265000</v>
      </c>
      <c r="C68" s="114">
        <f>C35-C55</f>
        <v>2120000</v>
      </c>
      <c r="D68" s="114" t="s">
        <v>366</v>
      </c>
    </row>
    <row r="69" spans="1:4" s="103" customFormat="1" ht="12.75">
      <c r="A69" s="114"/>
      <c r="B69" s="117">
        <f>SUM(B63:B68)</f>
        <v>3115000</v>
      </c>
      <c r="C69" s="108">
        <f>SUM(C63:C68)</f>
        <v>3115000</v>
      </c>
      <c r="D69" s="110"/>
    </row>
    <row r="70" s="103" customFormat="1" ht="12.75"/>
    <row r="71" s="103" customFormat="1" ht="12.75">
      <c r="A71" s="114" t="s">
        <v>444</v>
      </c>
    </row>
    <row r="72" s="103" customFormat="1" ht="12.75">
      <c r="A72" s="114" t="s">
        <v>452</v>
      </c>
    </row>
    <row r="73" s="103" customFormat="1" ht="12.75">
      <c r="A73" s="103" t="s">
        <v>454</v>
      </c>
    </row>
    <row r="74" s="103" customFormat="1" ht="12.75">
      <c r="A74" s="103" t="s">
        <v>453</v>
      </c>
    </row>
    <row r="75" s="103" customFormat="1" ht="12.75"/>
  </sheetData>
  <mergeCells count="6">
    <mergeCell ref="D65:E65"/>
    <mergeCell ref="D15:E15"/>
    <mergeCell ref="D31:E31"/>
    <mergeCell ref="B25:C25"/>
    <mergeCell ref="D52:E52"/>
    <mergeCell ref="D33:F33"/>
  </mergeCells>
  <printOptions/>
  <pageMargins left="0.75" right="0.75" top="1" bottom="1" header="0.5" footer="0.5"/>
  <pageSetup fitToHeight="2" horizontalDpi="600" verticalDpi="600" orientation="portrait" paperSize="9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B19" sqref="B19"/>
    </sheetView>
  </sheetViews>
  <sheetFormatPr defaultColWidth="9.00390625" defaultRowHeight="12.75"/>
  <sheetData>
    <row r="2" s="4" customFormat="1" ht="12.75">
      <c r="A2" s="62" t="s">
        <v>0</v>
      </c>
    </row>
    <row r="3" s="4" customFormat="1" ht="12.75"/>
    <row r="4" s="4" customFormat="1" ht="12.75">
      <c r="A4" s="10" t="s">
        <v>345</v>
      </c>
    </row>
    <row r="5" s="4" customFormat="1" ht="12.75"/>
    <row r="6" s="4" customFormat="1" ht="12.75">
      <c r="A6" s="4" t="s">
        <v>331</v>
      </c>
    </row>
    <row r="7" s="4" customFormat="1" ht="12.75">
      <c r="A7" s="4" t="s">
        <v>332</v>
      </c>
    </row>
    <row r="8" s="4" customFormat="1" ht="12.75">
      <c r="A8" s="4" t="s">
        <v>335</v>
      </c>
    </row>
    <row r="9" s="4" customFormat="1" ht="12.75"/>
    <row r="10" s="4" customFormat="1" ht="12.75">
      <c r="A10" s="4" t="s">
        <v>423</v>
      </c>
    </row>
    <row r="11" s="4" customFormat="1" ht="12.75"/>
    <row r="12" spans="1:6" s="4" customFormat="1" ht="12.75">
      <c r="A12" s="4" t="s">
        <v>292</v>
      </c>
      <c r="E12" s="4">
        <v>10</v>
      </c>
      <c r="F12" s="4" t="s">
        <v>69</v>
      </c>
    </row>
    <row r="13" spans="1:6" s="4" customFormat="1" ht="12.75">
      <c r="A13" s="4" t="s">
        <v>293</v>
      </c>
      <c r="E13" s="4">
        <v>25</v>
      </c>
      <c r="F13" s="4" t="s">
        <v>69</v>
      </c>
    </row>
    <row r="14" spans="1:6" s="4" customFormat="1" ht="12.75">
      <c r="A14" s="4" t="s">
        <v>306</v>
      </c>
      <c r="E14" s="4">
        <v>25</v>
      </c>
      <c r="F14" s="4" t="s">
        <v>69</v>
      </c>
    </row>
    <row r="15" spans="1:6" s="4" customFormat="1" ht="12.75">
      <c r="A15" s="4" t="s">
        <v>294</v>
      </c>
      <c r="E15" s="4">
        <v>5</v>
      </c>
      <c r="F15" s="4" t="s">
        <v>69</v>
      </c>
    </row>
    <row r="16" s="4" customFormat="1" ht="12.75"/>
    <row r="17" s="4" customFormat="1" ht="12.75">
      <c r="A17" s="4" t="s">
        <v>295</v>
      </c>
    </row>
    <row r="18" s="4" customFormat="1" ht="12.75">
      <c r="A18" s="4" t="s">
        <v>296</v>
      </c>
    </row>
    <row r="19" ht="12.75">
      <c r="A19" s="4" t="s">
        <v>333</v>
      </c>
    </row>
    <row r="20" ht="12.75">
      <c r="A20" s="4" t="s">
        <v>334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96"/>
  <sheetViews>
    <sheetView workbookViewId="0" topLeftCell="A1">
      <selection activeCell="A2" sqref="A2"/>
    </sheetView>
  </sheetViews>
  <sheetFormatPr defaultColWidth="9.00390625" defaultRowHeight="12.75"/>
  <cols>
    <col min="1" max="1" width="19.75390625" style="0" customWidth="1"/>
    <col min="4" max="4" width="4.125" style="0" customWidth="1"/>
    <col min="5" max="5" width="8.125" style="0" customWidth="1"/>
    <col min="6" max="6" width="8.375" style="0" customWidth="1"/>
    <col min="7" max="7" width="2.625" style="0" customWidth="1"/>
    <col min="10" max="10" width="2.125" style="0" customWidth="1"/>
    <col min="11" max="12" width="8.25390625" style="0" customWidth="1"/>
    <col min="13" max="13" width="2.00390625" style="0" customWidth="1"/>
    <col min="14" max="14" width="8.25390625" style="0" customWidth="1"/>
    <col min="15" max="15" width="8.375" style="0" customWidth="1"/>
    <col min="16" max="16" width="4.125" style="0" customWidth="1"/>
  </cols>
  <sheetData>
    <row r="1" spans="1:26" ht="12.75">
      <c r="A1" s="4"/>
      <c r="B1" s="9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6" t="s">
        <v>156</v>
      </c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62" t="s">
        <v>417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135" t="s">
        <v>416</v>
      </c>
      <c r="B6" s="127"/>
      <c r="C6" s="129"/>
      <c r="D6" s="129"/>
      <c r="E6" s="129"/>
      <c r="F6" s="129"/>
      <c r="G6" s="129"/>
      <c r="H6" s="12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>
      <c r="A7" s="136" t="s">
        <v>251</v>
      </c>
      <c r="B7" s="127"/>
      <c r="C7" s="129"/>
      <c r="D7" s="129"/>
      <c r="E7" s="129"/>
      <c r="F7" s="129"/>
      <c r="G7" s="129"/>
      <c r="H7" s="12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4"/>
      <c r="B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3"/>
      <c r="O8" s="33"/>
      <c r="P8" s="33"/>
      <c r="Q8" s="33"/>
      <c r="R8" s="33"/>
      <c r="S8" s="4"/>
      <c r="T8" s="4"/>
      <c r="U8" s="4"/>
      <c r="V8" s="4"/>
      <c r="W8" s="4"/>
      <c r="X8" s="4"/>
      <c r="Y8" s="4"/>
      <c r="Z8" s="4"/>
    </row>
    <row r="9" spans="1:26" ht="12.75">
      <c r="A9" s="10"/>
      <c r="B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3"/>
      <c r="O9" s="33"/>
      <c r="P9" s="33"/>
      <c r="Q9" s="33"/>
      <c r="R9" s="33"/>
      <c r="S9" s="4"/>
      <c r="T9" s="4"/>
      <c r="U9" s="4"/>
      <c r="V9" s="4"/>
      <c r="W9" s="4"/>
      <c r="X9" s="4"/>
      <c r="Y9" s="4"/>
      <c r="Z9" s="4"/>
    </row>
    <row r="10" spans="1:26" ht="12.75">
      <c r="A10" s="4"/>
      <c r="B10" s="9"/>
      <c r="C10" s="4"/>
      <c r="D10" s="4"/>
      <c r="E10" s="4" t="s">
        <v>18</v>
      </c>
      <c r="F10" s="4"/>
      <c r="G10" s="4"/>
      <c r="H10" s="4" t="s">
        <v>45</v>
      </c>
      <c r="I10" s="4"/>
      <c r="J10" s="4"/>
      <c r="K10" s="4"/>
      <c r="L10" s="4"/>
      <c r="M10" s="4"/>
      <c r="N10" s="33"/>
      <c r="O10" s="33"/>
      <c r="P10" s="33"/>
      <c r="Q10" s="33"/>
      <c r="R10" s="33"/>
      <c r="S10" s="4"/>
      <c r="T10" s="4"/>
      <c r="U10" s="4"/>
      <c r="V10" s="4"/>
      <c r="W10" s="4"/>
      <c r="X10" s="4"/>
      <c r="Y10" s="4"/>
      <c r="Z10" s="4"/>
    </row>
    <row r="11" spans="1:26" ht="12.75">
      <c r="A11" s="4"/>
      <c r="B11" s="9"/>
      <c r="C11" s="4"/>
      <c r="D11" s="4"/>
      <c r="E11" s="21" t="s">
        <v>47</v>
      </c>
      <c r="F11" s="21"/>
      <c r="G11" s="4"/>
      <c r="H11" s="21" t="s">
        <v>47</v>
      </c>
      <c r="I11" s="21"/>
      <c r="J11" s="4"/>
      <c r="K11" s="21" t="s">
        <v>19</v>
      </c>
      <c r="L11" s="21"/>
      <c r="M11" s="4"/>
      <c r="N11" s="33"/>
      <c r="O11" s="33"/>
      <c r="P11" s="33"/>
      <c r="Q11" s="33"/>
      <c r="R11" s="33"/>
      <c r="S11" s="4"/>
      <c r="T11" s="4"/>
      <c r="U11" s="4"/>
      <c r="V11" s="4"/>
      <c r="W11" s="4"/>
      <c r="X11" s="4"/>
      <c r="Y11" s="4"/>
      <c r="Z11" s="4"/>
    </row>
    <row r="12" spans="1:26" ht="12.75">
      <c r="A12" s="22" t="s">
        <v>173</v>
      </c>
      <c r="B12" s="23">
        <v>37256</v>
      </c>
      <c r="C12" s="24">
        <v>75000</v>
      </c>
      <c r="D12" s="25"/>
      <c r="E12" s="5">
        <v>175000</v>
      </c>
      <c r="F12" s="26"/>
      <c r="G12" s="25"/>
      <c r="H12" s="5"/>
      <c r="I12" s="26">
        <v>100000</v>
      </c>
      <c r="J12" s="4"/>
      <c r="K12" s="5"/>
      <c r="L12" s="26"/>
      <c r="M12" s="4"/>
      <c r="N12" s="8"/>
      <c r="O12" s="36"/>
      <c r="P12" s="33"/>
      <c r="Q12" s="8"/>
      <c r="R12" s="36"/>
      <c r="S12" s="4"/>
      <c r="T12" s="4"/>
      <c r="U12" s="4"/>
      <c r="V12" s="4"/>
      <c r="W12" s="4"/>
      <c r="X12" s="4"/>
      <c r="Y12" s="4"/>
      <c r="Z12" s="4"/>
    </row>
    <row r="13" spans="1:26" ht="12.75">
      <c r="A13" s="27"/>
      <c r="B13" s="28"/>
      <c r="C13" s="5"/>
      <c r="D13" s="25"/>
      <c r="E13" s="5"/>
      <c r="F13" s="26"/>
      <c r="G13" s="25"/>
      <c r="H13" s="5"/>
      <c r="I13" s="26"/>
      <c r="J13" s="4"/>
      <c r="K13" s="5"/>
      <c r="L13" s="26"/>
      <c r="M13" s="4"/>
      <c r="N13" s="8"/>
      <c r="O13" s="36"/>
      <c r="P13" s="33"/>
      <c r="Q13" s="8"/>
      <c r="R13" s="36"/>
      <c r="S13" s="4"/>
      <c r="T13" s="4"/>
      <c r="U13" s="4"/>
      <c r="V13" s="4"/>
      <c r="W13" s="4"/>
      <c r="X13" s="4"/>
      <c r="Y13" s="4"/>
      <c r="Z13" s="4"/>
    </row>
    <row r="14" spans="1:26" ht="12.75">
      <c r="A14" s="27" t="s">
        <v>20</v>
      </c>
      <c r="B14" s="28">
        <v>37437</v>
      </c>
      <c r="C14" s="5">
        <v>90000</v>
      </c>
      <c r="D14" s="25"/>
      <c r="E14" s="5">
        <f>C14</f>
        <v>90000</v>
      </c>
      <c r="F14" s="26"/>
      <c r="G14" s="25"/>
      <c r="H14" s="5"/>
      <c r="I14" s="26"/>
      <c r="J14" s="4"/>
      <c r="K14" s="5"/>
      <c r="L14" s="26"/>
      <c r="M14" s="4"/>
      <c r="N14" s="8"/>
      <c r="O14" s="36"/>
      <c r="P14" s="33"/>
      <c r="Q14" s="8"/>
      <c r="R14" s="36"/>
      <c r="S14" s="4"/>
      <c r="T14" s="4"/>
      <c r="U14" s="4"/>
      <c r="V14" s="4"/>
      <c r="W14" s="4"/>
      <c r="X14" s="4"/>
      <c r="Y14" s="4"/>
      <c r="Z14" s="4"/>
    </row>
    <row r="15" spans="1:26" ht="12.75">
      <c r="A15" s="27"/>
      <c r="B15" s="28"/>
      <c r="C15" s="5"/>
      <c r="D15" s="25"/>
      <c r="E15" s="5"/>
      <c r="F15" s="26"/>
      <c r="G15" s="25"/>
      <c r="H15" s="5"/>
      <c r="I15" s="26"/>
      <c r="J15" s="4"/>
      <c r="K15" s="5"/>
      <c r="L15" s="26"/>
      <c r="M15" s="4"/>
      <c r="N15" s="8"/>
      <c r="O15" s="36"/>
      <c r="P15" s="33"/>
      <c r="Q15" s="8"/>
      <c r="R15" s="36"/>
      <c r="S15" s="4"/>
      <c r="T15" s="4"/>
      <c r="U15" s="4"/>
      <c r="V15" s="4"/>
      <c r="W15" s="4"/>
      <c r="X15" s="4"/>
      <c r="Y15" s="4"/>
      <c r="Z15" s="4"/>
    </row>
    <row r="16" spans="1:26" ht="12.75">
      <c r="A16" s="27" t="s">
        <v>19</v>
      </c>
      <c r="B16" s="28">
        <v>37620</v>
      </c>
      <c r="C16" s="5"/>
      <c r="D16" s="25"/>
      <c r="E16" s="5"/>
      <c r="F16" s="26"/>
      <c r="G16" s="25"/>
      <c r="H16" s="5"/>
      <c r="I16" s="26"/>
      <c r="J16" s="4"/>
      <c r="K16" s="5"/>
      <c r="L16" s="26"/>
      <c r="M16" s="4"/>
      <c r="N16" s="8"/>
      <c r="O16" s="36"/>
      <c r="P16" s="33"/>
      <c r="Q16" s="8"/>
      <c r="R16" s="36"/>
      <c r="S16" s="4"/>
      <c r="T16" s="4"/>
      <c r="U16" s="4"/>
      <c r="V16" s="4"/>
      <c r="W16" s="4"/>
      <c r="X16" s="4"/>
      <c r="Y16" s="4"/>
      <c r="Z16" s="4"/>
    </row>
    <row r="17" spans="1:26" ht="12.75">
      <c r="A17" s="27" t="s">
        <v>252</v>
      </c>
      <c r="B17" s="28"/>
      <c r="C17" s="5">
        <v>-15000</v>
      </c>
      <c r="D17" s="25"/>
      <c r="E17" s="5"/>
      <c r="F17" s="26"/>
      <c r="G17" s="25"/>
      <c r="H17" s="5"/>
      <c r="I17" s="26"/>
      <c r="J17" s="4"/>
      <c r="K17" s="5"/>
      <c r="L17" s="26"/>
      <c r="M17" s="4"/>
      <c r="N17" s="8"/>
      <c r="O17" s="36"/>
      <c r="P17" s="33"/>
      <c r="Q17" s="8"/>
      <c r="R17" s="36"/>
      <c r="S17" s="4"/>
      <c r="T17" s="4"/>
      <c r="U17" s="4"/>
      <c r="V17" s="4"/>
      <c r="W17" s="4"/>
      <c r="X17" s="4"/>
      <c r="Y17" s="4"/>
      <c r="Z17" s="4"/>
    </row>
    <row r="18" spans="1:26" ht="12.75">
      <c r="A18" s="27" t="s">
        <v>49</v>
      </c>
      <c r="B18" s="28"/>
      <c r="C18" s="5">
        <v>-9000</v>
      </c>
      <c r="D18" s="25"/>
      <c r="E18" s="38"/>
      <c r="F18" s="52"/>
      <c r="G18" s="53"/>
      <c r="H18" s="38"/>
      <c r="I18" s="52">
        <f>-C17-C18</f>
        <v>24000</v>
      </c>
      <c r="J18" s="21"/>
      <c r="K18" s="38">
        <f>+I18</f>
        <v>24000</v>
      </c>
      <c r="L18" s="52"/>
      <c r="M18" s="4"/>
      <c r="N18" s="8"/>
      <c r="O18" s="36"/>
      <c r="P18" s="33"/>
      <c r="Q18" s="8"/>
      <c r="R18" s="36"/>
      <c r="S18" s="4"/>
      <c r="T18" s="4"/>
      <c r="U18" s="4"/>
      <c r="V18" s="4"/>
      <c r="W18" s="4"/>
      <c r="X18" s="4"/>
      <c r="Y18" s="4"/>
      <c r="Z18" s="4"/>
    </row>
    <row r="19" spans="1:26" ht="13.5" thickBot="1">
      <c r="A19" s="27" t="s">
        <v>173</v>
      </c>
      <c r="B19" s="28">
        <v>37620</v>
      </c>
      <c r="C19" s="24">
        <f>SUM(C12:C18)</f>
        <v>141000</v>
      </c>
      <c r="D19" s="25"/>
      <c r="E19" s="54">
        <f>SUM(E12:E18)</f>
        <v>265000</v>
      </c>
      <c r="F19" s="55"/>
      <c r="G19" s="56"/>
      <c r="H19" s="54"/>
      <c r="I19" s="55">
        <f>SUM(I12:I18)</f>
        <v>124000</v>
      </c>
      <c r="J19" s="57"/>
      <c r="K19" s="54">
        <f>SUM(K18)</f>
        <v>24000</v>
      </c>
      <c r="L19" s="55"/>
      <c r="M19" s="4"/>
      <c r="N19" s="8"/>
      <c r="O19" s="36"/>
      <c r="P19" s="33"/>
      <c r="Q19" s="8"/>
      <c r="R19" s="36"/>
      <c r="S19" s="4"/>
      <c r="T19" s="4"/>
      <c r="U19" s="4"/>
      <c r="V19" s="4"/>
      <c r="W19" s="4"/>
      <c r="X19" s="4"/>
      <c r="Y19" s="4"/>
      <c r="Z19" s="4"/>
    </row>
    <row r="20" spans="1:26" ht="13.5" thickTop="1">
      <c r="A20" s="27"/>
      <c r="B20" s="28"/>
      <c r="C20" s="5"/>
      <c r="D20" s="25"/>
      <c r="E20" s="5"/>
      <c r="F20" s="26"/>
      <c r="G20" s="25"/>
      <c r="H20" s="5"/>
      <c r="I20" s="26"/>
      <c r="J20" s="4"/>
      <c r="K20" s="5"/>
      <c r="L20" s="26"/>
      <c r="M20" s="4"/>
      <c r="N20" s="8"/>
      <c r="O20" s="36"/>
      <c r="P20" s="33"/>
      <c r="Q20" s="8"/>
      <c r="R20" s="36"/>
      <c r="S20" s="4"/>
      <c r="T20" s="4"/>
      <c r="U20" s="4"/>
      <c r="V20" s="4"/>
      <c r="W20" s="4"/>
      <c r="X20" s="4"/>
      <c r="Y20" s="4"/>
      <c r="Z20" s="4"/>
    </row>
    <row r="21" spans="1:26" ht="12.75">
      <c r="A21" s="27" t="s">
        <v>174</v>
      </c>
      <c r="B21" s="28">
        <v>37621</v>
      </c>
      <c r="C21" s="5">
        <f>+C19</f>
        <v>141000</v>
      </c>
      <c r="D21" s="25"/>
      <c r="E21" s="5">
        <f>+E19</f>
        <v>265000</v>
      </c>
      <c r="F21" s="26"/>
      <c r="G21" s="25"/>
      <c r="H21" s="5"/>
      <c r="I21" s="26">
        <f>+I19</f>
        <v>124000</v>
      </c>
      <c r="J21" s="4"/>
      <c r="K21" s="5"/>
      <c r="L21" s="26"/>
      <c r="M21" s="4"/>
      <c r="N21" s="8"/>
      <c r="O21" s="36"/>
      <c r="P21" s="33"/>
      <c r="Q21" s="8"/>
      <c r="R21" s="36"/>
      <c r="S21" s="4"/>
      <c r="T21" s="4"/>
      <c r="U21" s="4"/>
      <c r="V21" s="4"/>
      <c r="W21" s="4"/>
      <c r="X21" s="4"/>
      <c r="Y21" s="4"/>
      <c r="Z21" s="4"/>
    </row>
    <row r="22" spans="1:26" ht="12.75">
      <c r="A22" s="27" t="s">
        <v>21</v>
      </c>
      <c r="B22" s="28">
        <v>37725</v>
      </c>
      <c r="C22" s="5">
        <v>80000</v>
      </c>
      <c r="D22" s="25"/>
      <c r="E22" s="5">
        <f>C22</f>
        <v>80000</v>
      </c>
      <c r="F22" s="26"/>
      <c r="G22" s="25"/>
      <c r="H22" s="5"/>
      <c r="I22" s="26"/>
      <c r="J22" s="4"/>
      <c r="K22" s="5"/>
      <c r="L22" s="26"/>
      <c r="M22" s="4"/>
      <c r="N22" s="8"/>
      <c r="O22" s="36"/>
      <c r="P22" s="33"/>
      <c r="Q22" s="8"/>
      <c r="R22" s="36"/>
      <c r="S22" s="4"/>
      <c r="T22" s="4"/>
      <c r="U22" s="4"/>
      <c r="V22" s="4"/>
      <c r="W22" s="4"/>
      <c r="X22" s="4"/>
      <c r="Y22" s="4"/>
      <c r="Z22" s="4"/>
    </row>
    <row r="23" spans="1:26" ht="12.75">
      <c r="A23" s="27"/>
      <c r="B23" s="28"/>
      <c r="C23" s="5"/>
      <c r="D23" s="25"/>
      <c r="E23" s="5"/>
      <c r="F23" s="26"/>
      <c r="G23" s="25"/>
      <c r="H23" s="5"/>
      <c r="I23" s="26"/>
      <c r="J23" s="4"/>
      <c r="K23" s="5"/>
      <c r="L23" s="26"/>
      <c r="M23" s="4"/>
      <c r="N23" s="8"/>
      <c r="O23" s="36"/>
      <c r="P23" s="33"/>
      <c r="Q23" s="8"/>
      <c r="R23" s="36"/>
      <c r="S23" s="4"/>
      <c r="T23" s="4"/>
      <c r="U23" s="4"/>
      <c r="V23" s="4"/>
      <c r="W23" s="4"/>
      <c r="X23" s="4"/>
      <c r="Y23" s="4"/>
      <c r="Z23" s="4"/>
    </row>
    <row r="24" spans="1:26" ht="12.75">
      <c r="A24" s="27" t="s">
        <v>19</v>
      </c>
      <c r="B24" s="28">
        <f>B16+365</f>
        <v>37985</v>
      </c>
      <c r="C24" s="5"/>
      <c r="D24" s="25"/>
      <c r="E24" s="5"/>
      <c r="F24" s="26"/>
      <c r="G24" s="25"/>
      <c r="H24" s="5"/>
      <c r="I24" s="26"/>
      <c r="J24" s="4"/>
      <c r="K24" s="5"/>
      <c r="L24" s="26"/>
      <c r="M24" s="4"/>
      <c r="N24" s="8"/>
      <c r="O24" s="36"/>
      <c r="P24" s="33"/>
      <c r="Q24" s="8"/>
      <c r="R24" s="36"/>
      <c r="S24" s="4"/>
      <c r="T24" s="4"/>
      <c r="U24" s="4"/>
      <c r="V24" s="4"/>
      <c r="W24" s="4"/>
      <c r="X24" s="4"/>
      <c r="Y24" s="4"/>
      <c r="Z24" s="4"/>
    </row>
    <row r="25" spans="1:26" ht="12.75">
      <c r="A25" s="27" t="s">
        <v>253</v>
      </c>
      <c r="B25" s="4"/>
      <c r="C25" s="5">
        <v>-15000</v>
      </c>
      <c r="D25" s="25"/>
      <c r="E25" s="5"/>
      <c r="F25" s="26"/>
      <c r="G25" s="25"/>
      <c r="H25" s="5"/>
      <c r="I25" s="26"/>
      <c r="J25" s="4"/>
      <c r="K25" s="5"/>
      <c r="L25" s="26"/>
      <c r="M25" s="4"/>
      <c r="N25" s="8"/>
      <c r="O25" s="36"/>
      <c r="P25" s="33"/>
      <c r="Q25" s="8"/>
      <c r="R25" s="36"/>
      <c r="S25" s="4"/>
      <c r="T25" s="4"/>
      <c r="U25" s="4"/>
      <c r="V25" s="4"/>
      <c r="W25" s="4"/>
      <c r="X25" s="4"/>
      <c r="Y25" s="4"/>
      <c r="Z25" s="4"/>
    </row>
    <row r="26" spans="1:26" ht="12.75">
      <c r="A26" s="27" t="s">
        <v>51</v>
      </c>
      <c r="B26" s="28"/>
      <c r="C26" s="5">
        <v>-18000</v>
      </c>
      <c r="D26" s="25"/>
      <c r="E26" s="5"/>
      <c r="F26" s="26"/>
      <c r="G26" s="25"/>
      <c r="H26" s="5"/>
      <c r="I26" s="26"/>
      <c r="J26" s="4"/>
      <c r="K26" s="5"/>
      <c r="L26" s="26"/>
      <c r="M26" s="4"/>
      <c r="N26" s="8"/>
      <c r="O26" s="36"/>
      <c r="P26" s="33"/>
      <c r="Q26" s="8"/>
      <c r="R26" s="36"/>
      <c r="S26" s="4"/>
      <c r="T26" s="4"/>
      <c r="U26" s="4"/>
      <c r="V26" s="4"/>
      <c r="W26" s="4"/>
      <c r="X26" s="4"/>
      <c r="Y26" s="4"/>
      <c r="Z26" s="4"/>
    </row>
    <row r="27" spans="1:26" ht="12.75">
      <c r="A27" s="27" t="s">
        <v>59</v>
      </c>
      <c r="B27" s="28"/>
      <c r="C27" s="5">
        <v>-8000</v>
      </c>
      <c r="D27" s="25" t="s">
        <v>200</v>
      </c>
      <c r="E27" s="38"/>
      <c r="F27" s="52"/>
      <c r="G27" s="53"/>
      <c r="H27" s="38"/>
      <c r="I27" s="52">
        <f>-C25-C26-C27</f>
        <v>41000</v>
      </c>
      <c r="J27" s="21"/>
      <c r="K27" s="38">
        <f>+I27</f>
        <v>41000</v>
      </c>
      <c r="L27" s="52"/>
      <c r="M27" s="4"/>
      <c r="N27" s="8"/>
      <c r="O27" s="36"/>
      <c r="P27" s="33"/>
      <c r="Q27" s="8"/>
      <c r="R27" s="36"/>
      <c r="S27" s="4"/>
      <c r="T27" s="4"/>
      <c r="U27" s="4"/>
      <c r="V27" s="4"/>
      <c r="W27" s="4"/>
      <c r="X27" s="4"/>
      <c r="Y27" s="4"/>
      <c r="Z27" s="4"/>
    </row>
    <row r="28" spans="1:26" ht="13.5" thickBot="1">
      <c r="A28" s="29" t="s">
        <v>173</v>
      </c>
      <c r="B28" s="30">
        <f>B24</f>
        <v>37985</v>
      </c>
      <c r="C28" s="31">
        <f>SUM(C21:C27)</f>
        <v>180000</v>
      </c>
      <c r="D28" s="25"/>
      <c r="E28" s="54">
        <f>SUM(E21:E27)</f>
        <v>345000</v>
      </c>
      <c r="F28" s="55"/>
      <c r="G28" s="56"/>
      <c r="H28" s="54"/>
      <c r="I28" s="55">
        <f>SUM(I21:I27)</f>
        <v>165000</v>
      </c>
      <c r="J28" s="55"/>
      <c r="K28" s="54">
        <f>SUM(K27)</f>
        <v>41000</v>
      </c>
      <c r="L28" s="55"/>
      <c r="M28" s="4"/>
      <c r="N28" s="33"/>
      <c r="O28" s="33"/>
      <c r="P28" s="33"/>
      <c r="Q28" s="33"/>
      <c r="R28" s="33"/>
      <c r="S28" s="4"/>
      <c r="T28" s="4"/>
      <c r="U28" s="4"/>
      <c r="V28" s="4"/>
      <c r="W28" s="4"/>
      <c r="X28" s="4"/>
      <c r="Y28" s="4"/>
      <c r="Z28" s="4"/>
    </row>
    <row r="29" spans="1:26" ht="13.5" thickTop="1">
      <c r="A29" s="33"/>
      <c r="B29" s="28"/>
      <c r="C29" s="8"/>
      <c r="D29" s="25"/>
      <c r="E29" s="33"/>
      <c r="F29" s="33"/>
      <c r="G29" s="25"/>
      <c r="H29" s="8"/>
      <c r="I29" s="8"/>
      <c r="J29" s="36"/>
      <c r="K29" s="33"/>
      <c r="L29" s="33"/>
      <c r="M29" s="4"/>
      <c r="N29" s="33"/>
      <c r="O29" s="33"/>
      <c r="P29" s="33"/>
      <c r="Q29" s="33"/>
      <c r="R29" s="33"/>
      <c r="S29" s="4"/>
      <c r="T29" s="4"/>
      <c r="U29" s="4"/>
      <c r="V29" s="4"/>
      <c r="W29" s="4"/>
      <c r="X29" s="4"/>
      <c r="Y29" s="4"/>
      <c r="Z29" s="4"/>
    </row>
    <row r="30" spans="1:26" ht="12.75">
      <c r="A30" s="98" t="s">
        <v>324</v>
      </c>
      <c r="B30" s="99"/>
      <c r="C30" s="100"/>
      <c r="D30" s="101"/>
      <c r="E30" s="98"/>
      <c r="F30" s="98"/>
      <c r="G30" s="101"/>
      <c r="H30" s="100"/>
      <c r="I30" s="8"/>
      <c r="J30" s="36"/>
      <c r="K30" s="33"/>
      <c r="L30" s="33"/>
      <c r="M30" s="4"/>
      <c r="N30" s="33"/>
      <c r="O30" s="33"/>
      <c r="P30" s="33"/>
      <c r="Q30" s="33"/>
      <c r="R30" s="33"/>
      <c r="S30" s="4"/>
      <c r="T30" s="4"/>
      <c r="U30" s="4"/>
      <c r="V30" s="4"/>
      <c r="W30" s="4"/>
      <c r="X30" s="4"/>
      <c r="Y30" s="4"/>
      <c r="Z30" s="4"/>
    </row>
    <row r="31" spans="1:26" ht="12.75">
      <c r="A31" s="9"/>
      <c r="B31" s="28"/>
      <c r="C31" s="8"/>
      <c r="D31" s="25"/>
      <c r="E31" s="33"/>
      <c r="F31" s="33"/>
      <c r="G31" s="25"/>
      <c r="H31" s="8"/>
      <c r="I31" s="8"/>
      <c r="J31" s="36"/>
      <c r="K31" s="33"/>
      <c r="L31" s="33"/>
      <c r="M31" s="4"/>
      <c r="N31" s="33"/>
      <c r="O31" s="33"/>
      <c r="P31" s="33"/>
      <c r="Q31" s="33"/>
      <c r="R31" s="33"/>
      <c r="S31" s="4"/>
      <c r="T31" s="4"/>
      <c r="U31" s="4"/>
      <c r="V31" s="4"/>
      <c r="W31" s="4"/>
      <c r="X31" s="4"/>
      <c r="Y31" s="4"/>
      <c r="Z31" s="4"/>
    </row>
    <row r="32" spans="1:69" ht="12.75">
      <c r="A32" s="34"/>
      <c r="B32" s="28"/>
      <c r="C32" s="8"/>
      <c r="D32" s="8"/>
      <c r="E32" s="33"/>
      <c r="F32" s="33"/>
      <c r="G32" s="8"/>
      <c r="H32" s="8"/>
      <c r="I32" s="8"/>
      <c r="J32" s="36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</row>
    <row r="33" spans="1:69" ht="12.75">
      <c r="A33" s="34"/>
      <c r="B33" s="28"/>
      <c r="C33" s="8"/>
      <c r="D33" s="8"/>
      <c r="E33" s="33"/>
      <c r="F33" s="33"/>
      <c r="G33" s="8"/>
      <c r="H33" s="8"/>
      <c r="I33" s="8"/>
      <c r="J33" s="36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</row>
    <row r="34" spans="1:69" ht="12.75">
      <c r="A34" s="34"/>
      <c r="C34" s="8"/>
      <c r="D34" s="8"/>
      <c r="E34" s="33"/>
      <c r="F34" s="33"/>
      <c r="G34" s="8"/>
      <c r="H34" s="8"/>
      <c r="I34" s="8"/>
      <c r="J34" s="36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</row>
    <row r="35" spans="1:69" ht="12.75">
      <c r="A35" s="34"/>
      <c r="C35" s="8"/>
      <c r="D35" s="8"/>
      <c r="E35" s="33"/>
      <c r="F35" s="33"/>
      <c r="G35" s="8"/>
      <c r="H35" s="8"/>
      <c r="I35" s="8"/>
      <c r="J35" s="36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</row>
    <row r="36" spans="1:69" ht="12.75">
      <c r="A36" s="33"/>
      <c r="B36" s="28"/>
      <c r="C36" s="35"/>
      <c r="D36" s="8"/>
      <c r="E36" s="33"/>
      <c r="F36" s="33"/>
      <c r="G36" s="8"/>
      <c r="H36" s="8"/>
      <c r="I36" s="8"/>
      <c r="J36" s="36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</row>
    <row r="37" spans="1:69" ht="12.75">
      <c r="A37" s="33"/>
      <c r="B37" s="28"/>
      <c r="C37" s="8"/>
      <c r="D37" s="25"/>
      <c r="E37" s="33"/>
      <c r="F37" s="33"/>
      <c r="G37" s="25"/>
      <c r="H37" s="8"/>
      <c r="I37" s="8"/>
      <c r="J37" s="36"/>
      <c r="K37" s="33"/>
      <c r="L37" s="33"/>
      <c r="M37" s="4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</row>
    <row r="38" spans="1:69" ht="12.75">
      <c r="A38" s="33"/>
      <c r="B38" s="28"/>
      <c r="C38" s="8"/>
      <c r="D38" s="25"/>
      <c r="E38" s="33"/>
      <c r="F38" s="33"/>
      <c r="G38" s="25"/>
      <c r="H38" s="8"/>
      <c r="I38" s="8"/>
      <c r="J38" s="36"/>
      <c r="K38" s="33"/>
      <c r="L38" s="33"/>
      <c r="M38" s="4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</row>
    <row r="39" spans="1:69" ht="12.75">
      <c r="A39" s="33"/>
      <c r="B39" s="28"/>
      <c r="C39" s="35"/>
      <c r="D39" s="25"/>
      <c r="E39" s="33"/>
      <c r="F39" s="33"/>
      <c r="G39" s="25"/>
      <c r="H39" s="8"/>
      <c r="I39" s="8"/>
      <c r="J39" s="36"/>
      <c r="K39" s="33"/>
      <c r="L39" s="33"/>
      <c r="M39" s="4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</row>
    <row r="40" spans="1:69" ht="12.75">
      <c r="A40" s="4"/>
      <c r="B40" s="9"/>
      <c r="C40" s="25"/>
      <c r="D40" s="25"/>
      <c r="E40" s="8"/>
      <c r="F40" s="8"/>
      <c r="G40" s="25"/>
      <c r="H40" s="8"/>
      <c r="I40" s="8"/>
      <c r="J40" s="36"/>
      <c r="K40" s="8"/>
      <c r="L40" s="8"/>
      <c r="M40" s="25"/>
      <c r="N40" s="8"/>
      <c r="O40" s="8"/>
      <c r="P40" s="8"/>
      <c r="Q40" s="8"/>
      <c r="R40" s="36"/>
      <c r="S40" s="33"/>
      <c r="T40" s="33"/>
      <c r="U40" s="33"/>
      <c r="V40" s="33"/>
      <c r="W40" s="33"/>
      <c r="X40" s="33"/>
      <c r="Y40" s="33"/>
      <c r="Z40" s="3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</row>
    <row r="41" spans="1:69" ht="12.75">
      <c r="A41" s="4"/>
      <c r="B41" s="9"/>
      <c r="C41" s="25"/>
      <c r="D41" s="25"/>
      <c r="E41" s="8"/>
      <c r="F41" s="8"/>
      <c r="G41" s="25"/>
      <c r="H41" s="8"/>
      <c r="I41" s="8"/>
      <c r="J41" s="36"/>
      <c r="K41" s="8"/>
      <c r="L41" s="8"/>
      <c r="M41" s="25"/>
      <c r="N41" s="8"/>
      <c r="O41" s="8"/>
      <c r="P41" s="8"/>
      <c r="Q41" s="8"/>
      <c r="R41" s="8"/>
      <c r="S41" s="33"/>
      <c r="T41" s="33"/>
      <c r="U41" s="33"/>
      <c r="V41" s="33"/>
      <c r="W41" s="33"/>
      <c r="X41" s="33"/>
      <c r="Y41" s="33"/>
      <c r="Z41" s="33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</row>
    <row r="42" spans="1:69" ht="12.75">
      <c r="A42" s="4"/>
      <c r="B42" s="9"/>
      <c r="C42" s="25"/>
      <c r="D42" s="25"/>
      <c r="E42" s="8"/>
      <c r="F42" s="8"/>
      <c r="G42" s="25"/>
      <c r="H42" s="8"/>
      <c r="I42" s="8"/>
      <c r="J42" s="36"/>
      <c r="K42" s="8"/>
      <c r="L42" s="25"/>
      <c r="M42" s="25"/>
      <c r="N42" s="8"/>
      <c r="O42" s="8"/>
      <c r="P42" s="8"/>
      <c r="Q42" s="8"/>
      <c r="R42" s="8"/>
      <c r="S42" s="33"/>
      <c r="T42" s="33"/>
      <c r="U42" s="33"/>
      <c r="V42" s="33"/>
      <c r="W42" s="33"/>
      <c r="X42" s="33"/>
      <c r="Y42" s="33"/>
      <c r="Z42" s="33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</row>
    <row r="43" spans="1:69" ht="12.75">
      <c r="A43" s="4"/>
      <c r="B43" s="9"/>
      <c r="C43" s="50"/>
      <c r="D43" s="25"/>
      <c r="E43" s="8"/>
      <c r="F43" s="8"/>
      <c r="G43" s="25"/>
      <c r="H43" s="8"/>
      <c r="I43" s="36"/>
      <c r="J43" s="36"/>
      <c r="K43" s="8"/>
      <c r="L43" s="25"/>
      <c r="M43" s="25"/>
      <c r="N43" s="8"/>
      <c r="O43" s="8"/>
      <c r="P43" s="8"/>
      <c r="Q43" s="8"/>
      <c r="R43" s="8"/>
      <c r="S43" s="33"/>
      <c r="T43" s="33"/>
      <c r="U43" s="33"/>
      <c r="V43" s="33"/>
      <c r="W43" s="33"/>
      <c r="X43" s="33"/>
      <c r="Y43" s="33"/>
      <c r="Z43" s="33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</row>
    <row r="44" spans="1:69" ht="12.75">
      <c r="A44" s="33"/>
      <c r="B44" s="28"/>
      <c r="C44" s="8"/>
      <c r="D44" s="8"/>
      <c r="E44" s="8"/>
      <c r="F44" s="8"/>
      <c r="G44" s="8"/>
      <c r="H44" s="8"/>
      <c r="I44" s="8"/>
      <c r="J44" s="36"/>
      <c r="K44" s="8"/>
      <c r="L44" s="8"/>
      <c r="M44" s="8"/>
      <c r="N44" s="8"/>
      <c r="O44" s="36"/>
      <c r="P44" s="8"/>
      <c r="Q44" s="8"/>
      <c r="R44" s="8"/>
      <c r="S44" s="33"/>
      <c r="T44" s="33"/>
      <c r="U44" s="33"/>
      <c r="V44" s="33"/>
      <c r="W44" s="33"/>
      <c r="X44" s="33"/>
      <c r="Y44" s="33"/>
      <c r="Z44" s="33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</row>
    <row r="45" spans="1:69" ht="12.75">
      <c r="A45" s="33"/>
      <c r="B45" s="28"/>
      <c r="C45" s="8"/>
      <c r="D45" s="8"/>
      <c r="E45" s="33"/>
      <c r="F45" s="33"/>
      <c r="G45" s="33"/>
      <c r="H45" s="33"/>
      <c r="I45" s="8"/>
      <c r="J45" s="8"/>
      <c r="K45" s="8"/>
      <c r="L45" s="8"/>
      <c r="M45" s="8"/>
      <c r="N45" s="8"/>
      <c r="O45" s="8"/>
      <c r="P45" s="8"/>
      <c r="Q45" s="8"/>
      <c r="R45" s="8"/>
      <c r="S45" s="33"/>
      <c r="T45" s="33"/>
      <c r="U45" s="33"/>
      <c r="V45" s="33"/>
      <c r="W45" s="33"/>
      <c r="X45" s="33"/>
      <c r="Y45" s="33"/>
      <c r="Z45" s="3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</row>
    <row r="46" spans="1:69" ht="12.75">
      <c r="A46" s="33"/>
      <c r="B46" s="28"/>
      <c r="C46" s="8"/>
      <c r="D46" s="8"/>
      <c r="E46" s="33"/>
      <c r="F46" s="33"/>
      <c r="G46" s="33"/>
      <c r="H46" s="33"/>
      <c r="I46" s="8"/>
      <c r="J46" s="8"/>
      <c r="K46" s="8"/>
      <c r="L46" s="8"/>
      <c r="M46" s="8"/>
      <c r="N46" s="8"/>
      <c r="O46" s="8"/>
      <c r="P46" s="8"/>
      <c r="Q46" s="8"/>
      <c r="R46" s="8"/>
      <c r="S46" s="33"/>
      <c r="T46" s="33"/>
      <c r="U46" s="33"/>
      <c r="V46" s="33"/>
      <c r="W46" s="33"/>
      <c r="X46" s="33"/>
      <c r="Y46" s="33"/>
      <c r="Z46" s="33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</row>
    <row r="47" spans="1:69" ht="12.75">
      <c r="A47" s="4"/>
      <c r="B47" s="9"/>
      <c r="C47" s="50"/>
      <c r="D47" s="25"/>
      <c r="E47" s="8"/>
      <c r="F47" s="36"/>
      <c r="G47" s="8"/>
      <c r="H47" s="8"/>
      <c r="I47" s="36"/>
      <c r="J47" s="8"/>
      <c r="K47" s="8"/>
      <c r="L47" s="36"/>
      <c r="M47" s="8"/>
      <c r="N47" s="8"/>
      <c r="O47" s="36"/>
      <c r="P47" s="8"/>
      <c r="Q47" s="8"/>
      <c r="R47" s="36"/>
      <c r="S47" s="33"/>
      <c r="T47" s="33"/>
      <c r="U47" s="33"/>
      <c r="V47" s="33"/>
      <c r="W47" s="33"/>
      <c r="X47" s="33"/>
      <c r="Y47" s="33"/>
      <c r="Z47" s="33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</row>
    <row r="48" spans="1:69" ht="12.75">
      <c r="A48" s="33"/>
      <c r="B48" s="28"/>
      <c r="C48" s="8"/>
      <c r="D48" s="8"/>
      <c r="E48" s="8"/>
      <c r="F48" s="36"/>
      <c r="G48" s="8"/>
      <c r="H48" s="8"/>
      <c r="I48" s="36"/>
      <c r="J48" s="8"/>
      <c r="K48" s="8"/>
      <c r="L48" s="36"/>
      <c r="M48" s="8"/>
      <c r="N48" s="8"/>
      <c r="O48" s="36"/>
      <c r="P48" s="8"/>
      <c r="Q48" s="8"/>
      <c r="R48" s="36"/>
      <c r="S48" s="33"/>
      <c r="T48" s="33"/>
      <c r="U48" s="33"/>
      <c r="V48" s="33"/>
      <c r="W48" s="33"/>
      <c r="X48" s="33"/>
      <c r="Y48" s="33"/>
      <c r="Z48" s="33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</row>
    <row r="49" spans="1:69" ht="12.75">
      <c r="A49" s="33"/>
      <c r="B49" s="28"/>
      <c r="C49" s="8"/>
      <c r="D49" s="8"/>
      <c r="E49" s="8"/>
      <c r="F49" s="36"/>
      <c r="G49" s="8"/>
      <c r="H49" s="8"/>
      <c r="I49" s="36"/>
      <c r="J49" s="33"/>
      <c r="K49" s="8"/>
      <c r="L49" s="36"/>
      <c r="M49" s="33"/>
      <c r="N49" s="8"/>
      <c r="O49" s="36"/>
      <c r="P49" s="33"/>
      <c r="Q49" s="8"/>
      <c r="R49" s="36"/>
      <c r="S49" s="33"/>
      <c r="T49" s="33"/>
      <c r="U49" s="33"/>
      <c r="V49" s="33"/>
      <c r="W49" s="33"/>
      <c r="X49" s="33"/>
      <c r="Y49" s="33"/>
      <c r="Z49" s="33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</row>
    <row r="50" spans="1:69" ht="12.75">
      <c r="A50" s="33"/>
      <c r="B50" s="28"/>
      <c r="C50" s="8"/>
      <c r="D50" s="8"/>
      <c r="E50" s="8"/>
      <c r="F50" s="36"/>
      <c r="G50" s="8"/>
      <c r="H50" s="8"/>
      <c r="I50" s="36"/>
      <c r="J50" s="33"/>
      <c r="K50" s="8"/>
      <c r="L50" s="36"/>
      <c r="M50" s="33"/>
      <c r="N50" s="8"/>
      <c r="O50" s="36"/>
      <c r="P50" s="33"/>
      <c r="Q50" s="8"/>
      <c r="R50" s="36"/>
      <c r="S50" s="33"/>
      <c r="T50" s="33"/>
      <c r="U50" s="33"/>
      <c r="V50" s="33"/>
      <c r="W50" s="33"/>
      <c r="X50" s="33"/>
      <c r="Y50" s="33"/>
      <c r="Z50" s="33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</row>
    <row r="51" spans="1:69" ht="12.75">
      <c r="A51" s="33"/>
      <c r="B51" s="28"/>
      <c r="C51" s="8"/>
      <c r="D51" s="8"/>
      <c r="E51" s="8"/>
      <c r="F51" s="36"/>
      <c r="G51" s="8"/>
      <c r="H51" s="8"/>
      <c r="I51" s="36"/>
      <c r="J51" s="33"/>
      <c r="K51" s="8"/>
      <c r="L51" s="36"/>
      <c r="M51" s="33"/>
      <c r="N51" s="8"/>
      <c r="O51" s="36"/>
      <c r="P51" s="33"/>
      <c r="Q51" s="8"/>
      <c r="R51" s="36"/>
      <c r="S51" s="33"/>
      <c r="T51" s="33"/>
      <c r="U51" s="33"/>
      <c r="V51" s="33"/>
      <c r="W51" s="33"/>
      <c r="X51" s="33"/>
      <c r="Y51" s="33"/>
      <c r="Z51" s="33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</row>
    <row r="52" spans="1:69" ht="12.75">
      <c r="A52" s="33"/>
      <c r="B52" s="28"/>
      <c r="C52" s="8"/>
      <c r="D52" s="8"/>
      <c r="E52" s="8"/>
      <c r="F52" s="36"/>
      <c r="G52" s="8"/>
      <c r="H52" s="8"/>
      <c r="I52" s="36"/>
      <c r="J52" s="33"/>
      <c r="K52" s="8"/>
      <c r="L52" s="36"/>
      <c r="M52" s="33"/>
      <c r="N52" s="8"/>
      <c r="O52" s="36"/>
      <c r="P52" s="33"/>
      <c r="Q52" s="8"/>
      <c r="R52" s="36"/>
      <c r="S52" s="33"/>
      <c r="T52" s="33"/>
      <c r="U52" s="33"/>
      <c r="V52" s="33"/>
      <c r="W52" s="33"/>
      <c r="X52" s="33"/>
      <c r="Y52" s="33"/>
      <c r="Z52" s="33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</row>
    <row r="53" spans="1:69" ht="12.75">
      <c r="A53" s="33"/>
      <c r="B53" s="28"/>
      <c r="C53" s="8"/>
      <c r="D53" s="8"/>
      <c r="E53" s="8"/>
      <c r="F53" s="36"/>
      <c r="G53" s="8"/>
      <c r="H53" s="8"/>
      <c r="I53" s="36"/>
      <c r="J53" s="33"/>
      <c r="K53" s="8"/>
      <c r="L53" s="36"/>
      <c r="M53" s="33"/>
      <c r="N53" s="8"/>
      <c r="O53" s="36"/>
      <c r="P53" s="33"/>
      <c r="Q53" s="8"/>
      <c r="R53" s="36"/>
      <c r="S53" s="33"/>
      <c r="T53" s="33"/>
      <c r="U53" s="33"/>
      <c r="V53" s="33"/>
      <c r="W53" s="33"/>
      <c r="X53" s="33"/>
      <c r="Y53" s="33"/>
      <c r="Z53" s="33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</row>
    <row r="54" spans="1:69" ht="12.75">
      <c r="A54" s="33"/>
      <c r="B54" s="28"/>
      <c r="C54" s="8"/>
      <c r="D54" s="8"/>
      <c r="E54" s="8"/>
      <c r="F54" s="36"/>
      <c r="G54" s="8"/>
      <c r="H54" s="8"/>
      <c r="I54" s="36"/>
      <c r="J54" s="33"/>
      <c r="K54" s="8"/>
      <c r="L54" s="36"/>
      <c r="M54" s="33"/>
      <c r="N54" s="8"/>
      <c r="O54" s="36"/>
      <c r="P54" s="33"/>
      <c r="Q54" s="8"/>
      <c r="R54" s="36"/>
      <c r="S54" s="33"/>
      <c r="T54" s="33"/>
      <c r="U54" s="33"/>
      <c r="V54" s="33"/>
      <c r="W54" s="33"/>
      <c r="X54" s="33"/>
      <c r="Y54" s="33"/>
      <c r="Z54" s="33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</row>
    <row r="55" spans="1:69" ht="12.75">
      <c r="A55" s="33"/>
      <c r="C55" s="8"/>
      <c r="D55" s="8"/>
      <c r="E55" s="8"/>
      <c r="F55" s="36"/>
      <c r="G55" s="8"/>
      <c r="H55" s="8"/>
      <c r="I55" s="36"/>
      <c r="J55" s="33"/>
      <c r="K55" s="8"/>
      <c r="L55" s="36"/>
      <c r="M55" s="33"/>
      <c r="N55" s="8"/>
      <c r="O55" s="36"/>
      <c r="P55" s="33"/>
      <c r="Q55" s="8"/>
      <c r="R55" s="36"/>
      <c r="S55" s="33"/>
      <c r="T55" s="33"/>
      <c r="U55" s="33"/>
      <c r="V55" s="33"/>
      <c r="W55" s="33"/>
      <c r="X55" s="33"/>
      <c r="Y55" s="33"/>
      <c r="Z55" s="33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</row>
    <row r="56" spans="1:26" ht="12.75">
      <c r="A56" s="33"/>
      <c r="B56" s="28"/>
      <c r="C56" s="8"/>
      <c r="D56" s="8"/>
      <c r="E56" s="8"/>
      <c r="F56" s="36"/>
      <c r="G56" s="8"/>
      <c r="H56" s="8"/>
      <c r="I56" s="36"/>
      <c r="J56" s="33"/>
      <c r="K56" s="8"/>
      <c r="L56" s="36"/>
      <c r="M56" s="33"/>
      <c r="N56" s="8"/>
      <c r="O56" s="36"/>
      <c r="P56" s="33"/>
      <c r="Q56" s="8"/>
      <c r="R56" s="36"/>
      <c r="S56" s="33"/>
      <c r="T56" s="33"/>
      <c r="U56" s="33"/>
      <c r="V56" s="33"/>
      <c r="W56" s="4"/>
      <c r="X56" s="4"/>
      <c r="Y56" s="4"/>
      <c r="Z56" s="4"/>
    </row>
    <row r="57" spans="1:26" ht="12.75">
      <c r="A57" s="33"/>
      <c r="B57" s="28"/>
      <c r="C57" s="8"/>
      <c r="D57" s="8"/>
      <c r="E57" s="8"/>
      <c r="F57" s="36"/>
      <c r="G57" s="8"/>
      <c r="H57" s="8"/>
      <c r="I57" s="36"/>
      <c r="J57" s="33"/>
      <c r="K57" s="8"/>
      <c r="L57" s="36"/>
      <c r="M57" s="33"/>
      <c r="N57" s="8"/>
      <c r="O57" s="36"/>
      <c r="P57" s="33"/>
      <c r="Q57" s="8"/>
      <c r="R57" s="36"/>
      <c r="S57" s="33"/>
      <c r="T57" s="33"/>
      <c r="U57" s="33"/>
      <c r="V57" s="33"/>
      <c r="W57" s="4"/>
      <c r="X57" s="4"/>
      <c r="Y57" s="4"/>
      <c r="Z57" s="4"/>
    </row>
    <row r="58" spans="1:26" ht="12.75">
      <c r="A58" s="33"/>
      <c r="B58" s="28"/>
      <c r="C58" s="8"/>
      <c r="D58" s="8"/>
      <c r="E58" s="8"/>
      <c r="F58" s="36"/>
      <c r="G58" s="8"/>
      <c r="H58" s="8"/>
      <c r="I58" s="36"/>
      <c r="J58" s="33"/>
      <c r="K58" s="8"/>
      <c r="L58" s="36"/>
      <c r="M58" s="33"/>
      <c r="N58" s="8"/>
      <c r="O58" s="36"/>
      <c r="P58" s="33"/>
      <c r="Q58" s="8"/>
      <c r="R58" s="36"/>
      <c r="S58" s="33"/>
      <c r="T58" s="33"/>
      <c r="U58" s="33"/>
      <c r="V58" s="33"/>
      <c r="W58" s="4"/>
      <c r="X58" s="4"/>
      <c r="Y58" s="4"/>
      <c r="Z58" s="4"/>
    </row>
    <row r="59" spans="1:26" ht="12.75">
      <c r="A59" s="33"/>
      <c r="B59" s="28"/>
      <c r="C59" s="8"/>
      <c r="D59" s="8"/>
      <c r="E59" s="8"/>
      <c r="F59" s="36"/>
      <c r="G59" s="8"/>
      <c r="H59" s="8"/>
      <c r="I59" s="36"/>
      <c r="J59" s="33"/>
      <c r="K59" s="8"/>
      <c r="L59" s="36"/>
      <c r="M59" s="33"/>
      <c r="N59" s="8"/>
      <c r="O59" s="36"/>
      <c r="P59" s="33"/>
      <c r="Q59" s="8"/>
      <c r="R59" s="36"/>
      <c r="S59" s="33"/>
      <c r="T59" s="33"/>
      <c r="U59" s="33"/>
      <c r="V59" s="33"/>
      <c r="W59" s="4"/>
      <c r="X59" s="4"/>
      <c r="Y59" s="4"/>
      <c r="Z59" s="4"/>
    </row>
    <row r="60" spans="1:26" ht="12.75">
      <c r="A60" s="33"/>
      <c r="B60" s="28"/>
      <c r="C60" s="8"/>
      <c r="D60" s="8"/>
      <c r="E60" s="8"/>
      <c r="F60" s="36"/>
      <c r="G60" s="8"/>
      <c r="H60" s="8"/>
      <c r="I60" s="36"/>
      <c r="J60" s="33"/>
      <c r="K60" s="8"/>
      <c r="L60" s="36"/>
      <c r="M60" s="33"/>
      <c r="N60" s="8"/>
      <c r="O60" s="36"/>
      <c r="P60" s="33"/>
      <c r="Q60" s="8"/>
      <c r="R60" s="36"/>
      <c r="S60" s="33"/>
      <c r="T60" s="33"/>
      <c r="U60" s="33"/>
      <c r="V60" s="33"/>
      <c r="W60" s="4"/>
      <c r="X60" s="4"/>
      <c r="Y60" s="4"/>
      <c r="Z60" s="4"/>
    </row>
    <row r="61" spans="1:26" ht="12.75">
      <c r="A61" s="33"/>
      <c r="B61" s="28"/>
      <c r="C61" s="8"/>
      <c r="D61" s="8"/>
      <c r="E61" s="8"/>
      <c r="F61" s="36"/>
      <c r="G61" s="8"/>
      <c r="H61" s="8"/>
      <c r="I61" s="36"/>
      <c r="J61" s="33"/>
      <c r="K61" s="8"/>
      <c r="L61" s="36"/>
      <c r="M61" s="33"/>
      <c r="N61" s="8"/>
      <c r="O61" s="36"/>
      <c r="P61" s="33"/>
      <c r="Q61" s="8"/>
      <c r="R61" s="36"/>
      <c r="S61" s="33"/>
      <c r="T61" s="33"/>
      <c r="U61" s="33"/>
      <c r="V61" s="33"/>
      <c r="W61" s="4"/>
      <c r="X61" s="4"/>
      <c r="Y61" s="4"/>
      <c r="Z61" s="4"/>
    </row>
    <row r="62" spans="1:26" ht="12.75">
      <c r="A62" s="33"/>
      <c r="B62" s="28"/>
      <c r="C62" s="8"/>
      <c r="D62" s="8"/>
      <c r="E62" s="8"/>
      <c r="F62" s="36"/>
      <c r="G62" s="8"/>
      <c r="H62" s="8"/>
      <c r="I62" s="36"/>
      <c r="J62" s="33"/>
      <c r="K62" s="8"/>
      <c r="L62" s="36"/>
      <c r="M62" s="33"/>
      <c r="N62" s="8"/>
      <c r="O62" s="36"/>
      <c r="P62" s="33"/>
      <c r="Q62" s="8"/>
      <c r="R62" s="36"/>
      <c r="S62" s="33"/>
      <c r="T62" s="33"/>
      <c r="U62" s="33"/>
      <c r="V62" s="33"/>
      <c r="W62" s="4"/>
      <c r="X62" s="4"/>
      <c r="Y62" s="4"/>
      <c r="Z62" s="4"/>
    </row>
    <row r="63" spans="14:26" ht="12.75">
      <c r="N63" s="7"/>
      <c r="O63" s="7"/>
      <c r="P63" s="7"/>
      <c r="Q63" s="7"/>
      <c r="R63" s="7"/>
      <c r="S63" s="33"/>
      <c r="T63" s="33"/>
      <c r="U63" s="33"/>
      <c r="V63" s="33"/>
      <c r="W63" s="4"/>
      <c r="X63" s="4"/>
      <c r="Y63" s="4"/>
      <c r="Z63" s="4"/>
    </row>
    <row r="64" spans="14:26" ht="12.75">
      <c r="N64" s="7"/>
      <c r="O64" s="7"/>
      <c r="P64" s="7"/>
      <c r="Q64" s="7"/>
      <c r="R64" s="7"/>
      <c r="S64" s="33"/>
      <c r="T64" s="33"/>
      <c r="U64" s="33"/>
      <c r="V64" s="33"/>
      <c r="W64" s="4"/>
      <c r="X64" s="4"/>
      <c r="Y64" s="4"/>
      <c r="Z64" s="4"/>
    </row>
    <row r="65" spans="14:26" ht="12.75">
      <c r="N65" s="7"/>
      <c r="O65" s="7"/>
      <c r="P65" s="7"/>
      <c r="Q65" s="7"/>
      <c r="R65" s="7"/>
      <c r="S65" s="33"/>
      <c r="T65" s="33"/>
      <c r="U65" s="33"/>
      <c r="V65" s="33"/>
      <c r="W65" s="4"/>
      <c r="X65" s="4"/>
      <c r="Y65" s="4"/>
      <c r="Z65" s="4"/>
    </row>
    <row r="66" spans="14:26" ht="12.75">
      <c r="N66" s="7"/>
      <c r="O66" s="7"/>
      <c r="P66" s="7"/>
      <c r="Q66" s="7"/>
      <c r="R66" s="7"/>
      <c r="S66" s="33"/>
      <c r="T66" s="33"/>
      <c r="U66" s="33"/>
      <c r="V66" s="33"/>
      <c r="W66" s="4"/>
      <c r="X66" s="4"/>
      <c r="Y66" s="4"/>
      <c r="Z66" s="4"/>
    </row>
    <row r="67" spans="1:26" ht="12.75">
      <c r="A67" s="33"/>
      <c r="B67" s="28"/>
      <c r="C67" s="8"/>
      <c r="D67" s="8"/>
      <c r="E67" s="8"/>
      <c r="F67" s="36"/>
      <c r="G67" s="8"/>
      <c r="H67" s="8"/>
      <c r="I67" s="36"/>
      <c r="J67" s="33"/>
      <c r="K67" s="8"/>
      <c r="L67" s="36"/>
      <c r="M67" s="33"/>
      <c r="N67" s="8"/>
      <c r="O67" s="36"/>
      <c r="P67" s="33"/>
      <c r="Q67" s="8"/>
      <c r="R67" s="36"/>
      <c r="S67" s="33"/>
      <c r="T67" s="33"/>
      <c r="U67" s="33"/>
      <c r="V67" s="33"/>
      <c r="W67" s="4"/>
      <c r="X67" s="4"/>
      <c r="Y67" s="4"/>
      <c r="Z67" s="4"/>
    </row>
    <row r="68" spans="1:26" ht="12.75">
      <c r="A68" s="33"/>
      <c r="B68" s="28"/>
      <c r="C68" s="35"/>
      <c r="D68" s="8"/>
      <c r="E68" s="8"/>
      <c r="F68" s="36"/>
      <c r="G68" s="8"/>
      <c r="H68" s="8"/>
      <c r="I68" s="36"/>
      <c r="J68" s="33"/>
      <c r="K68" s="8"/>
      <c r="L68" s="36"/>
      <c r="M68" s="33"/>
      <c r="N68" s="8"/>
      <c r="O68" s="36"/>
      <c r="P68" s="33"/>
      <c r="Q68" s="8"/>
      <c r="R68" s="36"/>
      <c r="S68" s="33"/>
      <c r="T68" s="33"/>
      <c r="U68" s="33"/>
      <c r="V68" s="33"/>
      <c r="W68" s="4"/>
      <c r="X68" s="4"/>
      <c r="Y68" s="4"/>
      <c r="Z68" s="4"/>
    </row>
    <row r="69" spans="1:26" ht="12.75">
      <c r="A69" s="33"/>
      <c r="B69" s="28"/>
      <c r="C69" s="35"/>
      <c r="D69" s="8"/>
      <c r="E69" s="8"/>
      <c r="F69" s="36"/>
      <c r="G69" s="8"/>
      <c r="H69" s="8"/>
      <c r="I69" s="36"/>
      <c r="J69" s="33"/>
      <c r="K69" s="8"/>
      <c r="L69" s="36"/>
      <c r="M69" s="33"/>
      <c r="N69" s="8"/>
      <c r="O69" s="36"/>
      <c r="P69" s="33"/>
      <c r="Q69" s="8"/>
      <c r="R69" s="36"/>
      <c r="S69" s="33"/>
      <c r="T69" s="33"/>
      <c r="U69" s="33"/>
      <c r="V69" s="33"/>
      <c r="W69" s="4"/>
      <c r="X69" s="4"/>
      <c r="Y69" s="4"/>
      <c r="Z69" s="4"/>
    </row>
    <row r="70" spans="1:26" ht="12.75">
      <c r="A70" s="33"/>
      <c r="B70" s="28"/>
      <c r="C70" s="8"/>
      <c r="D70" s="33"/>
      <c r="E70" s="36"/>
      <c r="F70" s="36"/>
      <c r="G70" s="8"/>
      <c r="H70" s="36"/>
      <c r="I70" s="36"/>
      <c r="J70" s="33"/>
      <c r="K70" s="8"/>
      <c r="L70" s="36"/>
      <c r="M70" s="33"/>
      <c r="N70" s="8"/>
      <c r="O70" s="36"/>
      <c r="P70" s="33"/>
      <c r="Q70" s="8"/>
      <c r="R70" s="36"/>
      <c r="S70" s="33"/>
      <c r="T70" s="33"/>
      <c r="U70" s="33"/>
      <c r="V70" s="33"/>
      <c r="W70" s="4"/>
      <c r="X70" s="4"/>
      <c r="Y70" s="4"/>
      <c r="Z70" s="4"/>
    </row>
    <row r="71" spans="1:26" ht="12.75">
      <c r="A71" s="33"/>
      <c r="B71" s="28"/>
      <c r="C71" s="33"/>
      <c r="D71" s="33"/>
      <c r="E71" s="8"/>
      <c r="F71" s="36"/>
      <c r="G71" s="8"/>
      <c r="H71" s="8"/>
      <c r="I71" s="36"/>
      <c r="J71" s="36"/>
      <c r="K71" s="8"/>
      <c r="L71" s="36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4"/>
      <c r="X71" s="4"/>
      <c r="Y71" s="4"/>
      <c r="Z71" s="4"/>
    </row>
    <row r="72" spans="1:26" ht="12.75">
      <c r="A72" s="33"/>
      <c r="B72" s="33"/>
      <c r="C72" s="33"/>
      <c r="D72" s="33"/>
      <c r="E72" s="33"/>
      <c r="F72" s="33"/>
      <c r="G72" s="8"/>
      <c r="H72" s="8"/>
      <c r="I72" s="8"/>
      <c r="J72" s="36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4"/>
      <c r="X72" s="4"/>
      <c r="Y72" s="4"/>
      <c r="Z72" s="4"/>
    </row>
    <row r="73" spans="1:26" ht="12.75">
      <c r="A73" s="33"/>
      <c r="B73" s="33"/>
      <c r="C73" s="33"/>
      <c r="D73" s="33"/>
      <c r="E73" s="33"/>
      <c r="F73" s="33"/>
      <c r="G73" s="8"/>
      <c r="H73" s="8"/>
      <c r="I73" s="8"/>
      <c r="J73" s="36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4"/>
      <c r="X73" s="4"/>
      <c r="Y73" s="4"/>
      <c r="Z73" s="4"/>
    </row>
    <row r="74" spans="1:26" ht="12.75">
      <c r="A74" s="33"/>
      <c r="B74" s="33"/>
      <c r="C74" s="33"/>
      <c r="D74" s="33"/>
      <c r="E74" s="33"/>
      <c r="F74" s="33"/>
      <c r="G74" s="8"/>
      <c r="H74" s="8"/>
      <c r="I74" s="8"/>
      <c r="J74" s="36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4"/>
      <c r="X74" s="4"/>
      <c r="Y74" s="4"/>
      <c r="Z74" s="4"/>
    </row>
    <row r="75" spans="1:26" ht="12.75">
      <c r="A75" s="33"/>
      <c r="B75" s="33"/>
      <c r="C75" s="33"/>
      <c r="D75" s="33"/>
      <c r="E75" s="33"/>
      <c r="F75" s="33"/>
      <c r="G75" s="8"/>
      <c r="H75" s="8"/>
      <c r="I75" s="8"/>
      <c r="J75" s="36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4"/>
      <c r="X75" s="4"/>
      <c r="Y75" s="4"/>
      <c r="Z75" s="4"/>
    </row>
    <row r="76" spans="1:26" ht="12.75">
      <c r="A76" s="33"/>
      <c r="B76" s="33"/>
      <c r="C76" s="33"/>
      <c r="D76" s="33"/>
      <c r="E76" s="33"/>
      <c r="F76" s="33"/>
      <c r="G76" s="8"/>
      <c r="H76" s="8"/>
      <c r="I76" s="8"/>
      <c r="J76" s="36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4"/>
      <c r="X76" s="4"/>
      <c r="Y76" s="4"/>
      <c r="Z76" s="4"/>
    </row>
    <row r="77" spans="1:26" ht="12.75">
      <c r="A77" s="33"/>
      <c r="B77" s="33"/>
      <c r="C77" s="33"/>
      <c r="D77" s="33"/>
      <c r="E77" s="33"/>
      <c r="F77" s="33"/>
      <c r="G77" s="8"/>
      <c r="H77" s="8"/>
      <c r="I77" s="8"/>
      <c r="J77" s="36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4"/>
      <c r="X77" s="4"/>
      <c r="Y77" s="4"/>
      <c r="Z77" s="4"/>
    </row>
    <row r="78" spans="1:26" ht="12.75">
      <c r="A78" s="33"/>
      <c r="B78" s="33"/>
      <c r="C78" s="33"/>
      <c r="D78" s="33"/>
      <c r="E78" s="8"/>
      <c r="F78" s="8"/>
      <c r="G78" s="8"/>
      <c r="H78" s="8"/>
      <c r="I78" s="8"/>
      <c r="J78" s="36"/>
      <c r="K78" s="33"/>
      <c r="L78" s="33"/>
      <c r="M78" s="33"/>
      <c r="N78" s="8"/>
      <c r="O78" s="33"/>
      <c r="P78" s="33"/>
      <c r="Q78" s="33"/>
      <c r="R78" s="8"/>
      <c r="S78" s="33"/>
      <c r="T78" s="33"/>
      <c r="U78" s="33"/>
      <c r="V78" s="33"/>
      <c r="W78" s="4"/>
      <c r="X78" s="4"/>
      <c r="Y78" s="4"/>
      <c r="Z78" s="4"/>
    </row>
    <row r="79" spans="1:26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4"/>
      <c r="X79" s="4"/>
      <c r="Y79" s="4"/>
      <c r="Z79" s="4"/>
    </row>
    <row r="80" spans="1:26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4"/>
      <c r="X80" s="4"/>
      <c r="Y80" s="4"/>
      <c r="Z80" s="4"/>
    </row>
    <row r="81" spans="1:26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4"/>
      <c r="X81" s="4"/>
      <c r="Y81" s="4"/>
      <c r="Z81" s="4"/>
    </row>
    <row r="82" spans="1:26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4"/>
      <c r="X82" s="4"/>
      <c r="Y82" s="4"/>
      <c r="Z82" s="4"/>
    </row>
    <row r="83" spans="1:26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4"/>
      <c r="X83" s="4"/>
      <c r="Y83" s="4"/>
      <c r="Z83" s="4"/>
    </row>
    <row r="84" spans="1:26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4"/>
      <c r="X84" s="4"/>
      <c r="Y84" s="4"/>
      <c r="Z84" s="4"/>
    </row>
    <row r="85" spans="1:26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4"/>
      <c r="X85" s="4"/>
      <c r="Y85" s="4"/>
      <c r="Z85" s="4"/>
    </row>
    <row r="86" spans="1:26" ht="12.7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4"/>
      <c r="X86" s="4"/>
      <c r="Y86" s="4"/>
      <c r="Z86" s="4"/>
    </row>
    <row r="87" spans="1:26" ht="12.7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4"/>
      <c r="X87" s="4"/>
      <c r="Y87" s="4"/>
      <c r="Z87" s="4"/>
    </row>
    <row r="88" spans="1:26" ht="12.7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4"/>
      <c r="X88" s="4"/>
      <c r="Y88" s="4"/>
      <c r="Z88" s="4"/>
    </row>
    <row r="89" spans="1:26" ht="12.7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4"/>
      <c r="X89" s="4"/>
      <c r="Y89" s="4"/>
      <c r="Z89" s="4"/>
    </row>
    <row r="90" spans="1:26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4"/>
      <c r="X90" s="4"/>
      <c r="Y90" s="4"/>
      <c r="Z90" s="4"/>
    </row>
    <row r="91" spans="1:26" ht="12.7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4"/>
      <c r="X91" s="4"/>
      <c r="Y91" s="4"/>
      <c r="Z91" s="4"/>
    </row>
    <row r="92" spans="1:26" ht="12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4"/>
      <c r="X92" s="4"/>
      <c r="Y92" s="4"/>
      <c r="Z92" s="4"/>
    </row>
    <row r="93" spans="1:26" ht="12.7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4"/>
      <c r="X93" s="4"/>
      <c r="Y93" s="4"/>
      <c r="Z93" s="4"/>
    </row>
    <row r="94" spans="1:26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4"/>
      <c r="X94" s="4"/>
      <c r="Y94" s="4"/>
      <c r="Z94" s="4"/>
    </row>
    <row r="95" spans="1:26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4"/>
      <c r="X95" s="4"/>
      <c r="Y95" s="4"/>
      <c r="Z95" s="4"/>
    </row>
    <row r="96" spans="1:26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4"/>
      <c r="X96" s="4"/>
      <c r="Y96" s="4"/>
      <c r="Z96" s="4"/>
    </row>
    <row r="97" spans="1:26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4"/>
      <c r="X97" s="4"/>
      <c r="Y97" s="4"/>
      <c r="Z97" s="4"/>
    </row>
    <row r="98" spans="1:26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4"/>
      <c r="X98" s="4"/>
      <c r="Y98" s="4"/>
      <c r="Z98" s="4"/>
    </row>
    <row r="99" spans="1:26" ht="12.7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4"/>
      <c r="X99" s="4"/>
      <c r="Y99" s="4"/>
      <c r="Z99" s="4"/>
    </row>
    <row r="100" spans="1:26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4"/>
      <c r="X100" s="4"/>
      <c r="Y100" s="4"/>
      <c r="Z100" s="4"/>
    </row>
    <row r="101" spans="1:26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4"/>
      <c r="X101" s="4"/>
      <c r="Y101" s="4"/>
      <c r="Z101" s="4"/>
    </row>
    <row r="102" spans="1:26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4"/>
      <c r="X102" s="4"/>
      <c r="Y102" s="4"/>
      <c r="Z102" s="4"/>
    </row>
    <row r="103" spans="1:26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4"/>
      <c r="X103" s="4"/>
      <c r="Y103" s="4"/>
      <c r="Z103" s="4"/>
    </row>
    <row r="104" spans="1:26" ht="12.7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4"/>
      <c r="X104" s="4"/>
      <c r="Y104" s="4"/>
      <c r="Z104" s="4"/>
    </row>
    <row r="105" spans="1:26" ht="12.7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4"/>
      <c r="X105" s="4"/>
      <c r="Y105" s="4"/>
      <c r="Z105" s="4"/>
    </row>
    <row r="106" spans="1:26" ht="12.7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4"/>
      <c r="X106" s="4"/>
      <c r="Y106" s="4"/>
      <c r="Z106" s="4"/>
    </row>
    <row r="107" spans="1:26" ht="12.7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4"/>
      <c r="X107" s="4"/>
      <c r="Y107" s="4"/>
      <c r="Z107" s="4"/>
    </row>
    <row r="108" spans="1:26" ht="12.7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4"/>
      <c r="X108" s="4"/>
      <c r="Y108" s="4"/>
      <c r="Z108" s="4"/>
    </row>
    <row r="109" spans="1:26" ht="12.75">
      <c r="A109" s="33"/>
      <c r="B109" s="33"/>
      <c r="C109" s="33"/>
      <c r="D109" s="33"/>
      <c r="E109" s="32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4"/>
      <c r="X109" s="4"/>
      <c r="Y109" s="4"/>
      <c r="Z109" s="4"/>
    </row>
    <row r="110" spans="1:26" ht="12.75">
      <c r="A110" s="33"/>
      <c r="B110" s="33"/>
      <c r="C110" s="33"/>
      <c r="D110" s="33"/>
      <c r="E110" s="32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4"/>
      <c r="X110" s="4"/>
      <c r="Y110" s="4"/>
      <c r="Z110" s="4"/>
    </row>
    <row r="111" spans="1:26" ht="12.75">
      <c r="A111" s="33"/>
      <c r="B111" s="33"/>
      <c r="C111" s="33"/>
      <c r="D111" s="33"/>
      <c r="E111" s="32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4"/>
      <c r="X111" s="4"/>
      <c r="Y111" s="4"/>
      <c r="Z111" s="4"/>
    </row>
    <row r="112" spans="1:26" ht="12.75">
      <c r="A112" s="33"/>
      <c r="B112" s="33"/>
      <c r="C112" s="33"/>
      <c r="D112" s="33"/>
      <c r="E112" s="32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4"/>
      <c r="X112" s="4"/>
      <c r="Y112" s="4"/>
      <c r="Z112" s="4"/>
    </row>
    <row r="113" spans="1:26" ht="12.75">
      <c r="A113" s="33"/>
      <c r="B113" s="33"/>
      <c r="C113" s="33"/>
      <c r="D113" s="33"/>
      <c r="E113" s="32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4"/>
      <c r="X113" s="4"/>
      <c r="Y113" s="4"/>
      <c r="Z113" s="4"/>
    </row>
    <row r="114" spans="1:26" ht="12.75">
      <c r="A114" s="33"/>
      <c r="B114" s="33"/>
      <c r="C114" s="33"/>
      <c r="D114" s="33"/>
      <c r="E114" s="32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4"/>
      <c r="X114" s="4"/>
      <c r="Y114" s="4"/>
      <c r="Z114" s="4"/>
    </row>
    <row r="115" spans="1:26" ht="12.75">
      <c r="A115" s="33"/>
      <c r="B115" s="33"/>
      <c r="C115" s="33"/>
      <c r="D115" s="33"/>
      <c r="E115" s="32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4"/>
      <c r="X115" s="4"/>
      <c r="Y115" s="4"/>
      <c r="Z115" s="4"/>
    </row>
    <row r="116" spans="1:26" ht="12.75">
      <c r="A116" s="33"/>
      <c r="B116" s="33"/>
      <c r="C116" s="33"/>
      <c r="D116" s="33"/>
      <c r="E116" s="32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4"/>
      <c r="X116" s="4"/>
      <c r="Y116" s="4"/>
      <c r="Z116" s="4"/>
    </row>
    <row r="117" spans="1:26" ht="12.75">
      <c r="A117" s="33"/>
      <c r="B117" s="33"/>
      <c r="C117" s="33"/>
      <c r="D117" s="33"/>
      <c r="E117" s="32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4"/>
      <c r="X117" s="4"/>
      <c r="Y117" s="4"/>
      <c r="Z117" s="4"/>
    </row>
    <row r="118" spans="1:26" ht="12.75">
      <c r="A118" s="33"/>
      <c r="B118" s="33"/>
      <c r="C118" s="33"/>
      <c r="D118" s="33"/>
      <c r="E118" s="32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4"/>
      <c r="X118" s="4"/>
      <c r="Y118" s="4"/>
      <c r="Z118" s="4"/>
    </row>
    <row r="119" spans="1:26" ht="12.75">
      <c r="A119" s="33"/>
      <c r="B119" s="33"/>
      <c r="C119" s="33"/>
      <c r="D119" s="33"/>
      <c r="E119" s="32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4"/>
      <c r="X119" s="4"/>
      <c r="Y119" s="4"/>
      <c r="Z119" s="4"/>
    </row>
    <row r="120" spans="1:26" ht="12.75">
      <c r="A120" s="33"/>
      <c r="B120" s="33"/>
      <c r="C120" s="33"/>
      <c r="D120" s="33"/>
      <c r="E120" s="32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4"/>
      <c r="X120" s="4"/>
      <c r="Y120" s="4"/>
      <c r="Z120" s="4"/>
    </row>
    <row r="121" spans="1:26" ht="12.75">
      <c r="A121" s="33"/>
      <c r="B121" s="33"/>
      <c r="C121" s="33"/>
      <c r="D121" s="33"/>
      <c r="E121" s="32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4"/>
      <c r="X121" s="4"/>
      <c r="Y121" s="4"/>
      <c r="Z121" s="4"/>
    </row>
    <row r="122" spans="1:26" ht="12.75">
      <c r="A122" s="33"/>
      <c r="B122" s="33"/>
      <c r="C122" s="33"/>
      <c r="D122" s="33"/>
      <c r="E122" s="32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4"/>
      <c r="X122" s="4"/>
      <c r="Y122" s="4"/>
      <c r="Z122" s="4"/>
    </row>
    <row r="123" spans="1:26" ht="12.75">
      <c r="A123" s="33"/>
      <c r="B123" s="33"/>
      <c r="C123" s="33"/>
      <c r="D123" s="33"/>
      <c r="E123" s="32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4"/>
      <c r="X123" s="4"/>
      <c r="Y123" s="4"/>
      <c r="Z123" s="4"/>
    </row>
    <row r="124" spans="1:26" ht="12.75">
      <c r="A124" s="33"/>
      <c r="B124" s="33"/>
      <c r="C124" s="33"/>
      <c r="D124" s="33"/>
      <c r="E124" s="32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4"/>
      <c r="X124" s="4"/>
      <c r="Y124" s="4"/>
      <c r="Z124" s="4"/>
    </row>
    <row r="125" spans="1:26" ht="12.75">
      <c r="A125" s="33"/>
      <c r="B125" s="33"/>
      <c r="C125" s="33"/>
      <c r="D125" s="33"/>
      <c r="E125" s="32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4"/>
      <c r="X125" s="4"/>
      <c r="Y125" s="4"/>
      <c r="Z125" s="4"/>
    </row>
    <row r="126" spans="1:26" ht="12.75">
      <c r="A126" s="33"/>
      <c r="B126" s="33"/>
      <c r="C126" s="33"/>
      <c r="D126" s="33"/>
      <c r="E126" s="32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4"/>
      <c r="X126" s="4"/>
      <c r="Y126" s="4"/>
      <c r="Z126" s="4"/>
    </row>
    <row r="127" spans="1:26" ht="12.75">
      <c r="A127" s="33"/>
      <c r="B127" s="33"/>
      <c r="C127" s="33"/>
      <c r="D127" s="33"/>
      <c r="E127" s="32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4"/>
      <c r="X127" s="4"/>
      <c r="Y127" s="4"/>
      <c r="Z127" s="4"/>
    </row>
    <row r="128" spans="1:26" ht="12.75">
      <c r="A128" s="33"/>
      <c r="B128" s="33"/>
      <c r="C128" s="33"/>
      <c r="D128" s="33"/>
      <c r="E128" s="32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4"/>
      <c r="X128" s="4"/>
      <c r="Y128" s="4"/>
      <c r="Z128" s="4"/>
    </row>
    <row r="129" spans="1:26" ht="12.75">
      <c r="A129" s="33"/>
      <c r="B129" s="33"/>
      <c r="C129" s="33"/>
      <c r="D129" s="33"/>
      <c r="E129" s="32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4"/>
      <c r="X129" s="4"/>
      <c r="Y129" s="4"/>
      <c r="Z129" s="4"/>
    </row>
    <row r="130" spans="1:26" ht="12.75">
      <c r="A130" s="33"/>
      <c r="B130" s="33"/>
      <c r="C130" s="33"/>
      <c r="D130" s="33"/>
      <c r="E130" s="32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4"/>
      <c r="X130" s="4"/>
      <c r="Y130" s="4"/>
      <c r="Z130" s="4"/>
    </row>
    <row r="131" spans="1:22" ht="12.75">
      <c r="A131" s="7"/>
      <c r="B131" s="7"/>
      <c r="C131" s="7"/>
      <c r="D131" s="7"/>
      <c r="E131" s="49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2.75">
      <c r="A132" s="7"/>
      <c r="B132" s="7"/>
      <c r="C132" s="7"/>
      <c r="D132" s="7"/>
      <c r="E132" s="49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2.75">
      <c r="A133" s="7"/>
      <c r="B133" s="7"/>
      <c r="C133" s="7"/>
      <c r="D133" s="7"/>
      <c r="E133" s="49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2.75">
      <c r="A134" s="7"/>
      <c r="B134" s="7"/>
      <c r="C134" s="7"/>
      <c r="D134" s="7"/>
      <c r="E134" s="49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2.75">
      <c r="A135" s="7"/>
      <c r="B135" s="7"/>
      <c r="C135" s="7"/>
      <c r="D135" s="7"/>
      <c r="E135" s="49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2.75">
      <c r="A136" s="7"/>
      <c r="B136" s="7"/>
      <c r="C136" s="7"/>
      <c r="D136" s="7"/>
      <c r="E136" s="49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2.75">
      <c r="A137" s="7"/>
      <c r="B137" s="7"/>
      <c r="C137" s="7"/>
      <c r="D137" s="7"/>
      <c r="E137" s="49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2.75">
      <c r="A138" s="7"/>
      <c r="B138" s="7"/>
      <c r="C138" s="7"/>
      <c r="D138" s="7"/>
      <c r="E138" s="49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2.75">
      <c r="A139" s="7"/>
      <c r="B139" s="7"/>
      <c r="C139" s="7"/>
      <c r="D139" s="7"/>
      <c r="E139" s="49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2.75">
      <c r="A140" s="7"/>
      <c r="B140" s="7"/>
      <c r="C140" s="7"/>
      <c r="D140" s="7"/>
      <c r="E140" s="49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2.75">
      <c r="A141" s="7"/>
      <c r="B141" s="7"/>
      <c r="C141" s="7"/>
      <c r="D141" s="7"/>
      <c r="E141" s="49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2.75">
      <c r="A142" s="7"/>
      <c r="B142" s="7"/>
      <c r="C142" s="7"/>
      <c r="D142" s="7"/>
      <c r="E142" s="49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2.75">
      <c r="A143" s="7"/>
      <c r="B143" s="7"/>
      <c r="C143" s="7"/>
      <c r="D143" s="7"/>
      <c r="E143" s="49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2.75">
      <c r="A144" s="7"/>
      <c r="B144" s="7"/>
      <c r="C144" s="7"/>
      <c r="D144" s="7"/>
      <c r="E144" s="49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2.75">
      <c r="A145" s="7"/>
      <c r="B145" s="7"/>
      <c r="C145" s="7"/>
      <c r="D145" s="7"/>
      <c r="E145" s="49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4:18" ht="12.75">
      <c r="N148" s="7"/>
      <c r="O148" s="7"/>
      <c r="P148" s="7"/>
      <c r="Q148" s="7"/>
      <c r="R148" s="7"/>
    </row>
    <row r="149" spans="14:18" ht="12.75">
      <c r="N149" s="7"/>
      <c r="O149" s="7"/>
      <c r="P149" s="7"/>
      <c r="Q149" s="7"/>
      <c r="R149" s="7"/>
    </row>
    <row r="150" spans="14:18" ht="12.75">
      <c r="N150" s="7"/>
      <c r="O150" s="7"/>
      <c r="P150" s="7"/>
      <c r="Q150" s="7"/>
      <c r="R150" s="7"/>
    </row>
    <row r="151" spans="14:18" ht="12.75">
      <c r="N151" s="7"/>
      <c r="O151" s="7"/>
      <c r="P151" s="7"/>
      <c r="Q151" s="7"/>
      <c r="R151" s="7"/>
    </row>
    <row r="152" spans="14:18" ht="12.75">
      <c r="N152" s="7"/>
      <c r="O152" s="7"/>
      <c r="P152" s="7"/>
      <c r="Q152" s="7"/>
      <c r="R152" s="7"/>
    </row>
    <row r="153" spans="14:18" ht="12.75">
      <c r="N153" s="7"/>
      <c r="O153" s="7"/>
      <c r="P153" s="7"/>
      <c r="Q153" s="7"/>
      <c r="R153" s="7"/>
    </row>
    <row r="154" spans="14:18" ht="12.75">
      <c r="N154" s="7"/>
      <c r="O154" s="7"/>
      <c r="P154" s="7"/>
      <c r="Q154" s="7"/>
      <c r="R154" s="7"/>
    </row>
    <row r="155" spans="14:18" ht="12.75">
      <c r="N155" s="7"/>
      <c r="O155" s="7"/>
      <c r="P155" s="7"/>
      <c r="Q155" s="7"/>
      <c r="R155" s="7"/>
    </row>
    <row r="156" spans="14:18" ht="12.75">
      <c r="N156" s="7"/>
      <c r="O156" s="7"/>
      <c r="P156" s="7"/>
      <c r="Q156" s="7"/>
      <c r="R156" s="7"/>
    </row>
    <row r="157" spans="14:18" ht="12.75">
      <c r="N157" s="7"/>
      <c r="O157" s="7"/>
      <c r="P157" s="7"/>
      <c r="Q157" s="7"/>
      <c r="R157" s="7"/>
    </row>
    <row r="158" spans="14:18" ht="12.75">
      <c r="N158" s="7"/>
      <c r="O158" s="7"/>
      <c r="P158" s="7"/>
      <c r="Q158" s="7"/>
      <c r="R158" s="7"/>
    </row>
    <row r="159" spans="14:18" ht="12.75">
      <c r="N159" s="7"/>
      <c r="O159" s="7"/>
      <c r="P159" s="7"/>
      <c r="Q159" s="7"/>
      <c r="R159" s="7"/>
    </row>
    <row r="160" spans="14:18" ht="12.75">
      <c r="N160" s="7"/>
      <c r="O160" s="7"/>
      <c r="P160" s="7"/>
      <c r="Q160" s="7"/>
      <c r="R160" s="7"/>
    </row>
    <row r="161" spans="14:18" ht="12.75">
      <c r="N161" s="7"/>
      <c r="O161" s="7"/>
      <c r="P161" s="7"/>
      <c r="Q161" s="7"/>
      <c r="R161" s="7"/>
    </row>
    <row r="162" spans="14:18" ht="12.75">
      <c r="N162" s="7"/>
      <c r="O162" s="7"/>
      <c r="P162" s="7"/>
      <c r="Q162" s="7"/>
      <c r="R162" s="7"/>
    </row>
    <row r="163" spans="14:18" ht="12.75">
      <c r="N163" s="7"/>
      <c r="O163" s="7"/>
      <c r="P163" s="7"/>
      <c r="Q163" s="7"/>
      <c r="R163" s="7"/>
    </row>
    <row r="164" spans="14:18" ht="12.75">
      <c r="N164" s="7"/>
      <c r="O164" s="7"/>
      <c r="P164" s="7"/>
      <c r="Q164" s="7"/>
      <c r="R164" s="7"/>
    </row>
    <row r="165" spans="14:18" ht="12.75">
      <c r="N165" s="7"/>
      <c r="O165" s="7"/>
      <c r="P165" s="7"/>
      <c r="Q165" s="7"/>
      <c r="R165" s="7"/>
    </row>
    <row r="166" spans="14:18" ht="12.75">
      <c r="N166" s="7"/>
      <c r="O166" s="7"/>
      <c r="P166" s="7"/>
      <c r="Q166" s="7"/>
      <c r="R166" s="7"/>
    </row>
    <row r="167" spans="14:18" ht="12.75">
      <c r="N167" s="7"/>
      <c r="O167" s="7"/>
      <c r="P167" s="7"/>
      <c r="Q167" s="7"/>
      <c r="R167" s="7"/>
    </row>
    <row r="168" spans="14:18" ht="12.75">
      <c r="N168" s="7"/>
      <c r="O168" s="7"/>
      <c r="P168" s="7"/>
      <c r="Q168" s="7"/>
      <c r="R168" s="7"/>
    </row>
    <row r="169" spans="14:18" ht="12.75">
      <c r="N169" s="7"/>
      <c r="O169" s="7"/>
      <c r="P169" s="7"/>
      <c r="Q169" s="7"/>
      <c r="R169" s="7"/>
    </row>
    <row r="170" spans="14:18" ht="12.75">
      <c r="N170" s="7"/>
      <c r="O170" s="7"/>
      <c r="P170" s="7"/>
      <c r="Q170" s="7"/>
      <c r="R170" s="7"/>
    </row>
    <row r="171" spans="14:18" ht="12.75">
      <c r="N171" s="7"/>
      <c r="O171" s="7"/>
      <c r="P171" s="7"/>
      <c r="Q171" s="7"/>
      <c r="R171" s="7"/>
    </row>
    <row r="172" spans="14:18" ht="12.75">
      <c r="N172" s="7"/>
      <c r="O172" s="7"/>
      <c r="P172" s="7"/>
      <c r="Q172" s="7"/>
      <c r="R172" s="7"/>
    </row>
    <row r="173" spans="14:18" ht="12.75">
      <c r="N173" s="7"/>
      <c r="O173" s="7"/>
      <c r="P173" s="7"/>
      <c r="Q173" s="7"/>
      <c r="R173" s="7"/>
    </row>
    <row r="174" spans="14:18" ht="12.75">
      <c r="N174" s="7"/>
      <c r="O174" s="7"/>
      <c r="P174" s="7"/>
      <c r="Q174" s="7"/>
      <c r="R174" s="7"/>
    </row>
    <row r="175" spans="14:18" ht="12.75">
      <c r="N175" s="7"/>
      <c r="O175" s="7"/>
      <c r="P175" s="7"/>
      <c r="Q175" s="7"/>
      <c r="R175" s="7"/>
    </row>
    <row r="176" spans="14:18" ht="12.75">
      <c r="N176" s="7"/>
      <c r="O176" s="7"/>
      <c r="P176" s="7"/>
      <c r="Q176" s="7"/>
      <c r="R176" s="7"/>
    </row>
    <row r="177" spans="14:18" ht="12.75">
      <c r="N177" s="7"/>
      <c r="O177" s="7"/>
      <c r="P177" s="7"/>
      <c r="Q177" s="7"/>
      <c r="R177" s="7"/>
    </row>
    <row r="178" spans="14:18" ht="12.75">
      <c r="N178" s="7"/>
      <c r="O178" s="7"/>
      <c r="P178" s="7"/>
      <c r="Q178" s="7"/>
      <c r="R178" s="7"/>
    </row>
    <row r="179" spans="14:18" ht="12.75">
      <c r="N179" s="7"/>
      <c r="O179" s="7"/>
      <c r="P179" s="7"/>
      <c r="Q179" s="7"/>
      <c r="R179" s="7"/>
    </row>
    <row r="180" spans="14:18" ht="12.75">
      <c r="N180" s="7"/>
      <c r="O180" s="7"/>
      <c r="P180" s="7"/>
      <c r="Q180" s="7"/>
      <c r="R180" s="7"/>
    </row>
    <row r="181" spans="14:18" ht="12.75">
      <c r="N181" s="7"/>
      <c r="O181" s="7"/>
      <c r="P181" s="7"/>
      <c r="Q181" s="7"/>
      <c r="R181" s="7"/>
    </row>
    <row r="182" spans="14:18" ht="12.75">
      <c r="N182" s="7"/>
      <c r="O182" s="7"/>
      <c r="P182" s="7"/>
      <c r="Q182" s="7"/>
      <c r="R182" s="7"/>
    </row>
    <row r="183" spans="14:18" ht="12.75">
      <c r="N183" s="7"/>
      <c r="O183" s="7"/>
      <c r="P183" s="7"/>
      <c r="Q183" s="7"/>
      <c r="R183" s="7"/>
    </row>
    <row r="184" spans="14:18" ht="12.75">
      <c r="N184" s="7"/>
      <c r="O184" s="7"/>
      <c r="P184" s="7"/>
      <c r="Q184" s="7"/>
      <c r="R184" s="7"/>
    </row>
    <row r="185" spans="14:18" ht="12.75">
      <c r="N185" s="7"/>
      <c r="O185" s="7"/>
      <c r="P185" s="7"/>
      <c r="Q185" s="7"/>
      <c r="R185" s="7"/>
    </row>
    <row r="186" spans="14:18" ht="12.75">
      <c r="N186" s="7"/>
      <c r="O186" s="7"/>
      <c r="P186" s="7"/>
      <c r="Q186" s="7"/>
      <c r="R186" s="7"/>
    </row>
    <row r="187" spans="14:18" ht="12.75">
      <c r="N187" s="7"/>
      <c r="O187" s="7"/>
      <c r="P187" s="7"/>
      <c r="Q187" s="7"/>
      <c r="R187" s="7"/>
    </row>
    <row r="188" spans="14:18" ht="12.75">
      <c r="N188" s="7"/>
      <c r="O188" s="7"/>
      <c r="P188" s="7"/>
      <c r="Q188" s="7"/>
      <c r="R188" s="7"/>
    </row>
    <row r="189" spans="14:18" ht="12.75">
      <c r="N189" s="7"/>
      <c r="O189" s="7"/>
      <c r="P189" s="7"/>
      <c r="Q189" s="7"/>
      <c r="R189" s="7"/>
    </row>
    <row r="190" spans="14:18" ht="12.75">
      <c r="N190" s="7"/>
      <c r="O190" s="7"/>
      <c r="P190" s="7"/>
      <c r="Q190" s="7"/>
      <c r="R190" s="7"/>
    </row>
    <row r="191" spans="14:18" ht="12.75">
      <c r="N191" s="7"/>
      <c r="O191" s="7"/>
      <c r="P191" s="7"/>
      <c r="Q191" s="7"/>
      <c r="R191" s="7"/>
    </row>
    <row r="192" spans="14:18" ht="12.75">
      <c r="N192" s="7"/>
      <c r="O192" s="7"/>
      <c r="P192" s="7"/>
      <c r="Q192" s="7"/>
      <c r="R192" s="7"/>
    </row>
    <row r="193" spans="14:18" ht="12.75">
      <c r="N193" s="7"/>
      <c r="O193" s="7"/>
      <c r="P193" s="7"/>
      <c r="Q193" s="7"/>
      <c r="R193" s="7"/>
    </row>
    <row r="194" spans="14:18" ht="12.75">
      <c r="N194" s="7"/>
      <c r="O194" s="7"/>
      <c r="P194" s="7"/>
      <c r="Q194" s="7"/>
      <c r="R194" s="7"/>
    </row>
    <row r="195" spans="14:18" ht="12.75">
      <c r="N195" s="7"/>
      <c r="O195" s="7"/>
      <c r="P195" s="7"/>
      <c r="Q195" s="7"/>
      <c r="R195" s="7"/>
    </row>
    <row r="196" spans="14:18" ht="12.75">
      <c r="N196" s="7"/>
      <c r="O196" s="7"/>
      <c r="P196" s="7"/>
      <c r="Q196" s="7"/>
      <c r="R196" s="7"/>
    </row>
    <row r="197" spans="14:18" ht="12.75">
      <c r="N197" s="7"/>
      <c r="O197" s="7"/>
      <c r="P197" s="7"/>
      <c r="Q197" s="7"/>
      <c r="R197" s="7"/>
    </row>
    <row r="198" spans="14:18" ht="12.75">
      <c r="N198" s="7"/>
      <c r="O198" s="7"/>
      <c r="P198" s="7"/>
      <c r="Q198" s="7"/>
      <c r="R198" s="7"/>
    </row>
    <row r="199" spans="14:18" ht="12.75">
      <c r="N199" s="7"/>
      <c r="O199" s="7"/>
      <c r="P199" s="7"/>
      <c r="Q199" s="7"/>
      <c r="R199" s="7"/>
    </row>
    <row r="200" spans="14:18" ht="12.75">
      <c r="N200" s="7"/>
      <c r="O200" s="7"/>
      <c r="P200" s="7"/>
      <c r="Q200" s="7"/>
      <c r="R200" s="7"/>
    </row>
    <row r="201" spans="14:18" ht="12.75">
      <c r="N201" s="7"/>
      <c r="O201" s="7"/>
      <c r="P201" s="7"/>
      <c r="Q201" s="7"/>
      <c r="R201" s="7"/>
    </row>
    <row r="202" spans="14:18" ht="12.75">
      <c r="N202" s="7"/>
      <c r="O202" s="7"/>
      <c r="P202" s="7"/>
      <c r="Q202" s="7"/>
      <c r="R202" s="7"/>
    </row>
    <row r="203" spans="14:18" ht="12.75">
      <c r="N203" s="7"/>
      <c r="O203" s="7"/>
      <c r="P203" s="7"/>
      <c r="Q203" s="7"/>
      <c r="R203" s="7"/>
    </row>
    <row r="204" spans="14:18" ht="12.75">
      <c r="N204" s="7"/>
      <c r="O204" s="7"/>
      <c r="P204" s="7"/>
      <c r="Q204" s="7"/>
      <c r="R204" s="7"/>
    </row>
    <row r="205" spans="14:18" ht="12.75">
      <c r="N205" s="7"/>
      <c r="O205" s="7"/>
      <c r="P205" s="7"/>
      <c r="Q205" s="7"/>
      <c r="R205" s="7"/>
    </row>
    <row r="206" spans="14:18" ht="12.75">
      <c r="N206" s="7"/>
      <c r="O206" s="7"/>
      <c r="P206" s="7"/>
      <c r="Q206" s="7"/>
      <c r="R206" s="7"/>
    </row>
    <row r="207" spans="14:18" ht="12.75">
      <c r="N207" s="7"/>
      <c r="O207" s="7"/>
      <c r="P207" s="7"/>
      <c r="Q207" s="7"/>
      <c r="R207" s="7"/>
    </row>
    <row r="208" spans="14:18" ht="12.75">
      <c r="N208" s="7"/>
      <c r="O208" s="7"/>
      <c r="P208" s="7"/>
      <c r="Q208" s="7"/>
      <c r="R208" s="7"/>
    </row>
    <row r="209" spans="14:18" ht="12.75">
      <c r="N209" s="7"/>
      <c r="O209" s="7"/>
      <c r="P209" s="7"/>
      <c r="Q209" s="7"/>
      <c r="R209" s="7"/>
    </row>
    <row r="210" spans="14:18" ht="12.75">
      <c r="N210" s="7"/>
      <c r="O210" s="7"/>
      <c r="P210" s="7"/>
      <c r="Q210" s="7"/>
      <c r="R210" s="7"/>
    </row>
    <row r="211" spans="14:18" ht="12.75">
      <c r="N211" s="7"/>
      <c r="O211" s="7"/>
      <c r="P211" s="7"/>
      <c r="Q211" s="7"/>
      <c r="R211" s="7"/>
    </row>
    <row r="212" spans="14:18" ht="12.75">
      <c r="N212" s="7"/>
      <c r="O212" s="7"/>
      <c r="P212" s="7"/>
      <c r="Q212" s="7"/>
      <c r="R212" s="7"/>
    </row>
    <row r="213" spans="14:18" ht="12.75">
      <c r="N213" s="7"/>
      <c r="O213" s="7"/>
      <c r="P213" s="7"/>
      <c r="Q213" s="7"/>
      <c r="R213" s="7"/>
    </row>
    <row r="214" spans="14:18" ht="12.75">
      <c r="N214" s="7"/>
      <c r="O214" s="7"/>
      <c r="P214" s="7"/>
      <c r="Q214" s="7"/>
      <c r="R214" s="7"/>
    </row>
    <row r="215" spans="14:18" ht="12.75">
      <c r="N215" s="7"/>
      <c r="O215" s="7"/>
      <c r="P215" s="7"/>
      <c r="Q215" s="7"/>
      <c r="R215" s="7"/>
    </row>
    <row r="216" spans="14:18" ht="12.75">
      <c r="N216" s="7"/>
      <c r="O216" s="7"/>
      <c r="P216" s="7"/>
      <c r="Q216" s="7"/>
      <c r="R216" s="7"/>
    </row>
    <row r="217" spans="14:18" ht="12.75">
      <c r="N217" s="7"/>
      <c r="O217" s="7"/>
      <c r="P217" s="7"/>
      <c r="Q217" s="7"/>
      <c r="R217" s="7"/>
    </row>
    <row r="218" spans="14:18" ht="12.75">
      <c r="N218" s="7"/>
      <c r="O218" s="7"/>
      <c r="P218" s="7"/>
      <c r="Q218" s="7"/>
      <c r="R218" s="7"/>
    </row>
    <row r="219" spans="14:18" ht="12.75">
      <c r="N219" s="7"/>
      <c r="O219" s="7"/>
      <c r="P219" s="7"/>
      <c r="Q219" s="7"/>
      <c r="R219" s="7"/>
    </row>
    <row r="220" spans="14:18" ht="12.75">
      <c r="N220" s="7"/>
      <c r="O220" s="7"/>
      <c r="P220" s="7"/>
      <c r="Q220" s="7"/>
      <c r="R220" s="7"/>
    </row>
    <row r="221" spans="14:18" ht="12.75">
      <c r="N221" s="7"/>
      <c r="O221" s="7"/>
      <c r="P221" s="7"/>
      <c r="Q221" s="7"/>
      <c r="R221" s="7"/>
    </row>
    <row r="222" spans="14:18" ht="12.75">
      <c r="N222" s="7"/>
      <c r="O222" s="7"/>
      <c r="P222" s="7"/>
      <c r="Q222" s="7"/>
      <c r="R222" s="7"/>
    </row>
    <row r="223" spans="14:18" ht="12.75">
      <c r="N223" s="7"/>
      <c r="O223" s="7"/>
      <c r="P223" s="7"/>
      <c r="Q223" s="7"/>
      <c r="R223" s="7"/>
    </row>
    <row r="224" spans="14:18" ht="12.75">
      <c r="N224" s="7"/>
      <c r="O224" s="7"/>
      <c r="P224" s="7"/>
      <c r="Q224" s="7"/>
      <c r="R224" s="7"/>
    </row>
    <row r="225" spans="14:18" ht="12.75">
      <c r="N225" s="7"/>
      <c r="O225" s="7"/>
      <c r="P225" s="7"/>
      <c r="Q225" s="7"/>
      <c r="R225" s="7"/>
    </row>
    <row r="226" spans="14:18" ht="12.75">
      <c r="N226" s="7"/>
      <c r="O226" s="7"/>
      <c r="P226" s="7"/>
      <c r="Q226" s="7"/>
      <c r="R226" s="7"/>
    </row>
    <row r="227" spans="14:18" ht="12.75">
      <c r="N227" s="7"/>
      <c r="O227" s="7"/>
      <c r="P227" s="7"/>
      <c r="Q227" s="7"/>
      <c r="R227" s="7"/>
    </row>
    <row r="228" spans="14:18" ht="12.75">
      <c r="N228" s="7"/>
      <c r="O228" s="7"/>
      <c r="P228" s="7"/>
      <c r="Q228" s="7"/>
      <c r="R228" s="7"/>
    </row>
    <row r="229" spans="14:18" ht="12.75">
      <c r="N229" s="7"/>
      <c r="O229" s="7"/>
      <c r="P229" s="7"/>
      <c r="Q229" s="7"/>
      <c r="R229" s="7"/>
    </row>
    <row r="230" spans="14:18" ht="12.75">
      <c r="N230" s="7"/>
      <c r="O230" s="7"/>
      <c r="P230" s="7"/>
      <c r="Q230" s="7"/>
      <c r="R230" s="7"/>
    </row>
    <row r="231" spans="14:18" ht="12.75">
      <c r="N231" s="7"/>
      <c r="O231" s="7"/>
      <c r="P231" s="7"/>
      <c r="Q231" s="7"/>
      <c r="R231" s="7"/>
    </row>
    <row r="232" spans="14:18" ht="12.75">
      <c r="N232" s="7"/>
      <c r="O232" s="7"/>
      <c r="P232" s="7"/>
      <c r="Q232" s="7"/>
      <c r="R232" s="7"/>
    </row>
    <row r="233" spans="14:18" ht="12.75">
      <c r="N233" s="7"/>
      <c r="O233" s="7"/>
      <c r="P233" s="7"/>
      <c r="Q233" s="7"/>
      <c r="R233" s="7"/>
    </row>
    <row r="234" spans="14:18" ht="12.75">
      <c r="N234" s="7"/>
      <c r="O234" s="7"/>
      <c r="P234" s="7"/>
      <c r="Q234" s="7"/>
      <c r="R234" s="7"/>
    </row>
    <row r="235" spans="14:18" ht="12.75">
      <c r="N235" s="7"/>
      <c r="O235" s="7"/>
      <c r="P235" s="7"/>
      <c r="Q235" s="7"/>
      <c r="R235" s="7"/>
    </row>
    <row r="236" spans="14:18" ht="12.75">
      <c r="N236" s="7"/>
      <c r="O236" s="7"/>
      <c r="P236" s="7"/>
      <c r="Q236" s="7"/>
      <c r="R236" s="7"/>
    </row>
    <row r="237" spans="14:18" ht="12.75">
      <c r="N237" s="7"/>
      <c r="O237" s="7"/>
      <c r="P237" s="7"/>
      <c r="Q237" s="7"/>
      <c r="R237" s="7"/>
    </row>
    <row r="238" spans="14:18" ht="12.75">
      <c r="N238" s="7"/>
      <c r="O238" s="7"/>
      <c r="P238" s="7"/>
      <c r="Q238" s="7"/>
      <c r="R238" s="7"/>
    </row>
    <row r="239" spans="14:18" ht="12.75">
      <c r="N239" s="7"/>
      <c r="O239" s="7"/>
      <c r="P239" s="7"/>
      <c r="Q239" s="7"/>
      <c r="R239" s="7"/>
    </row>
    <row r="240" spans="14:18" ht="12.75">
      <c r="N240" s="7"/>
      <c r="O240" s="7"/>
      <c r="P240" s="7"/>
      <c r="Q240" s="7"/>
      <c r="R240" s="7"/>
    </row>
    <row r="241" spans="14:18" ht="12.75">
      <c r="N241" s="7"/>
      <c r="O241" s="7"/>
      <c r="P241" s="7"/>
      <c r="Q241" s="7"/>
      <c r="R241" s="7"/>
    </row>
    <row r="242" spans="14:18" ht="12.75">
      <c r="N242" s="7"/>
      <c r="O242" s="7"/>
      <c r="P242" s="7"/>
      <c r="Q242" s="7"/>
      <c r="R242" s="7"/>
    </row>
    <row r="243" spans="14:18" ht="12.75">
      <c r="N243" s="7"/>
      <c r="O243" s="7"/>
      <c r="P243" s="7"/>
      <c r="Q243" s="7"/>
      <c r="R243" s="7"/>
    </row>
    <row r="244" spans="14:18" ht="12.75">
      <c r="N244" s="7"/>
      <c r="O244" s="7"/>
      <c r="P244" s="7"/>
      <c r="Q244" s="7"/>
      <c r="R244" s="7"/>
    </row>
    <row r="245" spans="14:18" ht="12.75">
      <c r="N245" s="7"/>
      <c r="O245" s="7"/>
      <c r="P245" s="7"/>
      <c r="Q245" s="7"/>
      <c r="R245" s="7"/>
    </row>
    <row r="246" spans="14:18" ht="12.75">
      <c r="N246" s="7"/>
      <c r="O246" s="7"/>
      <c r="P246" s="7"/>
      <c r="Q246" s="7"/>
      <c r="R246" s="7"/>
    </row>
    <row r="247" spans="14:18" ht="12.75">
      <c r="N247" s="7"/>
      <c r="O247" s="7"/>
      <c r="P247" s="7"/>
      <c r="Q247" s="7"/>
      <c r="R247" s="7"/>
    </row>
    <row r="248" spans="14:18" ht="12.75">
      <c r="N248" s="7"/>
      <c r="O248" s="7"/>
      <c r="P248" s="7"/>
      <c r="Q248" s="7"/>
      <c r="R248" s="7"/>
    </row>
    <row r="249" spans="14:18" ht="12.75">
      <c r="N249" s="7"/>
      <c r="O249" s="7"/>
      <c r="P249" s="7"/>
      <c r="Q249" s="7"/>
      <c r="R249" s="7"/>
    </row>
    <row r="250" spans="14:18" ht="12.75">
      <c r="N250" s="7"/>
      <c r="O250" s="7"/>
      <c r="P250" s="7"/>
      <c r="Q250" s="7"/>
      <c r="R250" s="7"/>
    </row>
    <row r="251" spans="14:18" ht="12.75">
      <c r="N251" s="7"/>
      <c r="O251" s="7"/>
      <c r="P251" s="7"/>
      <c r="Q251" s="7"/>
      <c r="R251" s="7"/>
    </row>
    <row r="252" spans="14:18" ht="12.75">
      <c r="N252" s="7"/>
      <c r="O252" s="7"/>
      <c r="P252" s="7"/>
      <c r="Q252" s="7"/>
      <c r="R252" s="7"/>
    </row>
    <row r="253" spans="14:18" ht="12.75">
      <c r="N253" s="7"/>
      <c r="O253" s="7"/>
      <c r="P253" s="7"/>
      <c r="Q253" s="7"/>
      <c r="R253" s="7"/>
    </row>
    <row r="254" spans="14:18" ht="12.75">
      <c r="N254" s="7"/>
      <c r="O254" s="7"/>
      <c r="P254" s="7"/>
      <c r="Q254" s="7"/>
      <c r="R254" s="7"/>
    </row>
    <row r="255" spans="14:18" ht="12.75">
      <c r="N255" s="7"/>
      <c r="O255" s="7"/>
      <c r="P255" s="7"/>
      <c r="Q255" s="7"/>
      <c r="R255" s="7"/>
    </row>
    <row r="256" spans="14:18" ht="12.75">
      <c r="N256" s="7"/>
      <c r="O256" s="7"/>
      <c r="P256" s="7"/>
      <c r="Q256" s="7"/>
      <c r="R256" s="7"/>
    </row>
    <row r="257" spans="14:18" ht="12.75">
      <c r="N257" s="7"/>
      <c r="O257" s="7"/>
      <c r="P257" s="7"/>
      <c r="Q257" s="7"/>
      <c r="R257" s="7"/>
    </row>
    <row r="258" spans="14:18" ht="12.75">
      <c r="N258" s="7"/>
      <c r="O258" s="7"/>
      <c r="P258" s="7"/>
      <c r="Q258" s="7"/>
      <c r="R258" s="7"/>
    </row>
    <row r="259" spans="14:18" ht="12.75">
      <c r="N259" s="7"/>
      <c r="O259" s="7"/>
      <c r="P259" s="7"/>
      <c r="Q259" s="7"/>
      <c r="R259" s="7"/>
    </row>
    <row r="260" spans="14:18" ht="12.75">
      <c r="N260" s="7"/>
      <c r="O260" s="7"/>
      <c r="P260" s="7"/>
      <c r="Q260" s="7"/>
      <c r="R260" s="7"/>
    </row>
    <row r="261" spans="14:18" ht="12.75">
      <c r="N261" s="7"/>
      <c r="O261" s="7"/>
      <c r="P261" s="7"/>
      <c r="Q261" s="7"/>
      <c r="R261" s="7"/>
    </row>
    <row r="262" spans="14:18" ht="12.75">
      <c r="N262" s="7"/>
      <c r="O262" s="7"/>
      <c r="P262" s="7"/>
      <c r="Q262" s="7"/>
      <c r="R262" s="7"/>
    </row>
    <row r="263" spans="14:18" ht="12.75">
      <c r="N263" s="7"/>
      <c r="O263" s="7"/>
      <c r="P263" s="7"/>
      <c r="Q263" s="7"/>
      <c r="R263" s="7"/>
    </row>
    <row r="264" spans="14:18" ht="12.75">
      <c r="N264" s="7"/>
      <c r="O264" s="7"/>
      <c r="P264" s="7"/>
      <c r="Q264" s="7"/>
      <c r="R264" s="7"/>
    </row>
    <row r="265" spans="14:18" ht="12.75">
      <c r="N265" s="7"/>
      <c r="O265" s="7"/>
      <c r="P265" s="7"/>
      <c r="Q265" s="7"/>
      <c r="R265" s="7"/>
    </row>
    <row r="266" spans="14:18" ht="12.75">
      <c r="N266" s="7"/>
      <c r="O266" s="7"/>
      <c r="P266" s="7"/>
      <c r="Q266" s="7"/>
      <c r="R266" s="7"/>
    </row>
    <row r="267" spans="14:18" ht="12.75">
      <c r="N267" s="7"/>
      <c r="O267" s="7"/>
      <c r="P267" s="7"/>
      <c r="Q267" s="7"/>
      <c r="R267" s="7"/>
    </row>
    <row r="268" spans="14:18" ht="12.75">
      <c r="N268" s="7"/>
      <c r="O268" s="7"/>
      <c r="P268" s="7"/>
      <c r="Q268" s="7"/>
      <c r="R268" s="7"/>
    </row>
    <row r="269" spans="14:18" ht="12.75">
      <c r="N269" s="7"/>
      <c r="O269" s="7"/>
      <c r="P269" s="7"/>
      <c r="Q269" s="7"/>
      <c r="R269" s="7"/>
    </row>
    <row r="270" spans="14:18" ht="12.75">
      <c r="N270" s="7"/>
      <c r="O270" s="7"/>
      <c r="P270" s="7"/>
      <c r="Q270" s="7"/>
      <c r="R270" s="7"/>
    </row>
    <row r="271" spans="14:18" ht="12.75">
      <c r="N271" s="7"/>
      <c r="O271" s="7"/>
      <c r="P271" s="7"/>
      <c r="Q271" s="7"/>
      <c r="R271" s="7"/>
    </row>
    <row r="272" spans="14:18" ht="12.75">
      <c r="N272" s="7"/>
      <c r="O272" s="7"/>
      <c r="P272" s="7"/>
      <c r="Q272" s="7"/>
      <c r="R272" s="7"/>
    </row>
    <row r="273" spans="14:18" ht="12.75">
      <c r="N273" s="7"/>
      <c r="O273" s="7"/>
      <c r="P273" s="7"/>
      <c r="Q273" s="7"/>
      <c r="R273" s="7"/>
    </row>
    <row r="274" spans="14:18" ht="12.75">
      <c r="N274" s="7"/>
      <c r="O274" s="7"/>
      <c r="P274" s="7"/>
      <c r="Q274" s="7"/>
      <c r="R274" s="7"/>
    </row>
    <row r="275" spans="14:18" ht="12.75">
      <c r="N275" s="7"/>
      <c r="O275" s="7"/>
      <c r="P275" s="7"/>
      <c r="Q275" s="7"/>
      <c r="R275" s="7"/>
    </row>
    <row r="276" spans="14:18" ht="12.75">
      <c r="N276" s="7"/>
      <c r="O276" s="7"/>
      <c r="P276" s="7"/>
      <c r="Q276" s="7"/>
      <c r="R276" s="7"/>
    </row>
    <row r="277" spans="14:18" ht="12.75">
      <c r="N277" s="7"/>
      <c r="O277" s="7"/>
      <c r="P277" s="7"/>
      <c r="Q277" s="7"/>
      <c r="R277" s="7"/>
    </row>
    <row r="278" spans="14:18" ht="12.75">
      <c r="N278" s="7"/>
      <c r="O278" s="7"/>
      <c r="P278" s="7"/>
      <c r="Q278" s="7"/>
      <c r="R278" s="7"/>
    </row>
    <row r="279" spans="14:18" ht="12.75">
      <c r="N279" s="7"/>
      <c r="O279" s="7"/>
      <c r="P279" s="7"/>
      <c r="Q279" s="7"/>
      <c r="R279" s="7"/>
    </row>
    <row r="280" spans="14:18" ht="12.75">
      <c r="N280" s="7"/>
      <c r="O280" s="7"/>
      <c r="P280" s="7"/>
      <c r="Q280" s="7"/>
      <c r="R280" s="7"/>
    </row>
    <row r="281" spans="14:18" ht="12.75">
      <c r="N281" s="7"/>
      <c r="O281" s="7"/>
      <c r="P281" s="7"/>
      <c r="Q281" s="7"/>
      <c r="R281" s="7"/>
    </row>
    <row r="282" spans="14:18" ht="12.75">
      <c r="N282" s="7"/>
      <c r="O282" s="7"/>
      <c r="P282" s="7"/>
      <c r="Q282" s="7"/>
      <c r="R282" s="7"/>
    </row>
    <row r="283" spans="14:18" ht="12.75">
      <c r="N283" s="7"/>
      <c r="O283" s="7"/>
      <c r="P283" s="7"/>
      <c r="Q283" s="7"/>
      <c r="R283" s="7"/>
    </row>
    <row r="284" spans="14:18" ht="12.75">
      <c r="N284" s="7"/>
      <c r="O284" s="7"/>
      <c r="P284" s="7"/>
      <c r="Q284" s="7"/>
      <c r="R284" s="7"/>
    </row>
    <row r="285" spans="14:18" ht="12.75">
      <c r="N285" s="7"/>
      <c r="O285" s="7"/>
      <c r="P285" s="7"/>
      <c r="Q285" s="7"/>
      <c r="R285" s="7"/>
    </row>
    <row r="286" spans="17:18" ht="12.75">
      <c r="Q286" s="7"/>
      <c r="R286" s="7"/>
    </row>
    <row r="287" spans="17:18" ht="12.75">
      <c r="Q287" s="7"/>
      <c r="R287" s="7"/>
    </row>
    <row r="288" spans="17:18" ht="12.75">
      <c r="Q288" s="7"/>
      <c r="R288" s="7"/>
    </row>
    <row r="289" spans="17:18" ht="12.75">
      <c r="Q289" s="7"/>
      <c r="R289" s="7"/>
    </row>
    <row r="290" spans="17:18" ht="12.75">
      <c r="Q290" s="7"/>
      <c r="R290" s="7"/>
    </row>
    <row r="291" spans="17:18" ht="12.75">
      <c r="Q291" s="7"/>
      <c r="R291" s="7"/>
    </row>
    <row r="292" spans="17:18" ht="12.75">
      <c r="Q292" s="7"/>
      <c r="R292" s="7"/>
    </row>
    <row r="293" spans="17:18" ht="12.75">
      <c r="Q293" s="7"/>
      <c r="R293" s="7"/>
    </row>
    <row r="294" spans="17:18" ht="12.75">
      <c r="Q294" s="7"/>
      <c r="R294" s="7"/>
    </row>
    <row r="295" spans="17:18" ht="12.75">
      <c r="Q295" s="7"/>
      <c r="R295" s="7"/>
    </row>
    <row r="296" spans="17:18" ht="12.75">
      <c r="Q296" s="7"/>
      <c r="R296" s="7"/>
    </row>
  </sheetData>
  <printOptions/>
  <pageMargins left="0.75" right="0.49" top="1" bottom="1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85"/>
  <sheetViews>
    <sheetView workbookViewId="0" topLeftCell="A1">
      <selection activeCell="A6" sqref="A6"/>
    </sheetView>
  </sheetViews>
  <sheetFormatPr defaultColWidth="9.00390625" defaultRowHeight="12.75"/>
  <cols>
    <col min="1" max="1" width="24.00390625" style="0" customWidth="1"/>
    <col min="2" max="2" width="7.875" style="0" customWidth="1"/>
    <col min="3" max="3" width="7.625" style="0" customWidth="1"/>
    <col min="4" max="4" width="4.625" style="0" customWidth="1"/>
    <col min="5" max="5" width="7.25390625" style="0" customWidth="1"/>
    <col min="6" max="6" width="9.25390625" style="0" customWidth="1"/>
    <col min="7" max="7" width="3.75390625" style="0" customWidth="1"/>
    <col min="8" max="8" width="6.75390625" style="0" customWidth="1"/>
    <col min="9" max="9" width="7.25390625" style="0" customWidth="1"/>
    <col min="10" max="10" width="3.625" style="0" customWidth="1"/>
    <col min="11" max="11" width="6.75390625" style="0" customWidth="1"/>
    <col min="12" max="12" width="8.375" style="0" customWidth="1"/>
    <col min="13" max="13" width="3.25390625" style="0" customWidth="1"/>
    <col min="14" max="14" width="6.75390625" style="0" customWidth="1"/>
    <col min="15" max="15" width="8.625" style="0" customWidth="1"/>
    <col min="16" max="16" width="3.125" style="0" customWidth="1"/>
    <col min="17" max="18" width="6.75390625" style="0" customWidth="1"/>
  </cols>
  <sheetData>
    <row r="2" spans="1:26" ht="12.75">
      <c r="A2" s="16" t="s">
        <v>156</v>
      </c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16"/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>
      <c r="A4" s="10" t="s">
        <v>418</v>
      </c>
    </row>
    <row r="6" ht="12.75">
      <c r="A6" s="33" t="s">
        <v>422</v>
      </c>
    </row>
    <row r="7" spans="1: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2.75">
      <c r="A8" s="4"/>
      <c r="B8" s="9"/>
      <c r="C8" s="4"/>
      <c r="D8" s="4"/>
      <c r="E8" s="4" t="s">
        <v>18</v>
      </c>
      <c r="F8" s="4"/>
      <c r="G8" s="4"/>
      <c r="H8" s="4" t="s">
        <v>45</v>
      </c>
      <c r="I8" s="4"/>
      <c r="J8" s="4"/>
      <c r="K8" s="4"/>
      <c r="L8" s="4"/>
      <c r="M8" s="4"/>
      <c r="N8" s="33"/>
      <c r="O8" s="33"/>
      <c r="P8" s="33"/>
      <c r="Q8" s="33"/>
      <c r="R8" s="33"/>
      <c r="S8" s="4"/>
      <c r="T8" s="4"/>
    </row>
    <row r="9" spans="1:20" ht="12.75">
      <c r="A9" s="4"/>
      <c r="B9" s="9"/>
      <c r="C9" s="4"/>
      <c r="D9" s="4"/>
      <c r="E9" s="21" t="s">
        <v>47</v>
      </c>
      <c r="F9" s="21"/>
      <c r="G9" s="4"/>
      <c r="H9" s="21" t="s">
        <v>47</v>
      </c>
      <c r="I9" s="21"/>
      <c r="J9" s="4"/>
      <c r="K9" s="21" t="s">
        <v>19</v>
      </c>
      <c r="L9" s="21"/>
      <c r="M9" s="4"/>
      <c r="N9" s="21" t="s">
        <v>188</v>
      </c>
      <c r="O9" s="21"/>
      <c r="P9" s="33"/>
      <c r="Q9" s="21" t="s">
        <v>178</v>
      </c>
      <c r="R9" s="21"/>
      <c r="S9" s="4"/>
      <c r="T9" s="4"/>
    </row>
    <row r="10" spans="1:20" ht="12.75">
      <c r="A10" s="22" t="s">
        <v>173</v>
      </c>
      <c r="B10" s="23">
        <v>37256</v>
      </c>
      <c r="C10" s="24">
        <v>75000</v>
      </c>
      <c r="D10" s="25"/>
      <c r="E10" s="5">
        <v>175000</v>
      </c>
      <c r="F10" s="26"/>
      <c r="G10" s="25"/>
      <c r="H10" s="5"/>
      <c r="I10" s="26">
        <v>100000</v>
      </c>
      <c r="J10" s="25"/>
      <c r="K10" s="5"/>
      <c r="L10" s="26"/>
      <c r="M10" s="25"/>
      <c r="N10" s="24"/>
      <c r="O10" s="36"/>
      <c r="P10" s="8"/>
      <c r="Q10" s="24"/>
      <c r="R10" s="36"/>
      <c r="S10" s="25"/>
      <c r="T10" s="4"/>
    </row>
    <row r="11" spans="1:20" ht="12.75">
      <c r="A11" s="27"/>
      <c r="B11" s="28"/>
      <c r="C11" s="5"/>
      <c r="D11" s="25"/>
      <c r="E11" s="5"/>
      <c r="F11" s="26"/>
      <c r="G11" s="25"/>
      <c r="H11" s="5"/>
      <c r="I11" s="26"/>
      <c r="J11" s="25"/>
      <c r="K11" s="5"/>
      <c r="L11" s="26"/>
      <c r="M11" s="25"/>
      <c r="N11" s="5"/>
      <c r="O11" s="36"/>
      <c r="P11" s="8"/>
      <c r="Q11" s="5"/>
      <c r="R11" s="36"/>
      <c r="S11" s="25"/>
      <c r="T11" s="4"/>
    </row>
    <row r="12" spans="1:20" ht="12.75">
      <c r="A12" s="27" t="s">
        <v>20</v>
      </c>
      <c r="B12" s="28">
        <v>37437</v>
      </c>
      <c r="C12" s="5">
        <v>90000</v>
      </c>
      <c r="D12" s="25"/>
      <c r="E12" s="5">
        <f>C12</f>
        <v>90000</v>
      </c>
      <c r="F12" s="26"/>
      <c r="G12" s="25"/>
      <c r="H12" s="5"/>
      <c r="I12" s="26"/>
      <c r="J12" s="25"/>
      <c r="K12" s="5"/>
      <c r="L12" s="26"/>
      <c r="M12" s="25"/>
      <c r="N12" s="5"/>
      <c r="O12" s="36"/>
      <c r="P12" s="8"/>
      <c r="Q12" s="5"/>
      <c r="R12" s="36"/>
      <c r="S12" s="25"/>
      <c r="T12" s="4"/>
    </row>
    <row r="13" spans="1:20" ht="12.75">
      <c r="A13" s="27"/>
      <c r="B13" s="28"/>
      <c r="C13" s="5"/>
      <c r="D13" s="25"/>
      <c r="E13" s="5"/>
      <c r="F13" s="26"/>
      <c r="G13" s="25"/>
      <c r="H13" s="5"/>
      <c r="I13" s="26"/>
      <c r="J13" s="25"/>
      <c r="K13" s="5"/>
      <c r="L13" s="26"/>
      <c r="M13" s="25"/>
      <c r="N13" s="5"/>
      <c r="O13" s="36"/>
      <c r="P13" s="8"/>
      <c r="Q13" s="5"/>
      <c r="R13" s="36"/>
      <c r="S13" s="25"/>
      <c r="T13" s="4"/>
    </row>
    <row r="14" spans="1:20" ht="12.75">
      <c r="A14" s="27" t="s">
        <v>19</v>
      </c>
      <c r="B14" s="28">
        <v>37620</v>
      </c>
      <c r="C14" s="5"/>
      <c r="D14" s="25"/>
      <c r="E14" s="5"/>
      <c r="F14" s="26"/>
      <c r="G14" s="25"/>
      <c r="H14" s="5"/>
      <c r="I14" s="26"/>
      <c r="J14" s="25"/>
      <c r="K14" s="5"/>
      <c r="L14" s="26"/>
      <c r="M14" s="25"/>
      <c r="N14" s="5"/>
      <c r="O14" s="36"/>
      <c r="P14" s="8"/>
      <c r="Q14" s="5"/>
      <c r="R14" s="36"/>
      <c r="S14" s="25"/>
      <c r="T14" s="4"/>
    </row>
    <row r="15" spans="1:20" ht="12.75">
      <c r="A15" s="27" t="s">
        <v>252</v>
      </c>
      <c r="B15" s="28"/>
      <c r="C15" s="5">
        <v>-15000</v>
      </c>
      <c r="D15" s="25"/>
      <c r="E15" s="5"/>
      <c r="F15" s="26"/>
      <c r="G15" s="25"/>
      <c r="H15" s="5"/>
      <c r="I15" s="26"/>
      <c r="J15" s="25"/>
      <c r="K15" s="5"/>
      <c r="L15" s="26"/>
      <c r="M15" s="25"/>
      <c r="N15" s="5"/>
      <c r="O15" s="36"/>
      <c r="P15" s="8"/>
      <c r="Q15" s="5"/>
      <c r="R15" s="36"/>
      <c r="S15" s="25"/>
      <c r="T15" s="4"/>
    </row>
    <row r="16" spans="1:20" ht="12.75">
      <c r="A16" s="27" t="s">
        <v>49</v>
      </c>
      <c r="B16" s="28"/>
      <c r="C16" s="5">
        <v>-9000</v>
      </c>
      <c r="D16" s="25"/>
      <c r="E16" s="5"/>
      <c r="F16" s="36"/>
      <c r="G16" s="8"/>
      <c r="H16" s="5"/>
      <c r="I16" s="36">
        <f>-(+C15+C16)</f>
        <v>24000</v>
      </c>
      <c r="J16" s="8"/>
      <c r="K16" s="5">
        <f>+I16</f>
        <v>24000</v>
      </c>
      <c r="L16" s="36"/>
      <c r="M16" s="25"/>
      <c r="N16" s="5"/>
      <c r="O16" s="36"/>
      <c r="P16" s="8"/>
      <c r="Q16" s="5"/>
      <c r="R16" s="36"/>
      <c r="S16" s="25"/>
      <c r="T16" s="4"/>
    </row>
    <row r="17" spans="1:20" ht="12.75">
      <c r="A17" s="27" t="s">
        <v>173</v>
      </c>
      <c r="B17" s="28">
        <f>B14</f>
        <v>37620</v>
      </c>
      <c r="C17" s="24">
        <f>SUM(C10:C16)</f>
        <v>141000</v>
      </c>
      <c r="D17" s="25"/>
      <c r="E17" s="8"/>
      <c r="F17" s="63"/>
      <c r="G17" s="8"/>
      <c r="H17" s="8"/>
      <c r="I17" s="63"/>
      <c r="J17" s="8"/>
      <c r="K17" s="8"/>
      <c r="L17" s="63"/>
      <c r="M17" s="25"/>
      <c r="N17" s="5"/>
      <c r="O17" s="36"/>
      <c r="P17" s="8"/>
      <c r="Q17" s="5"/>
      <c r="R17" s="36"/>
      <c r="S17" s="25"/>
      <c r="T17" s="4"/>
    </row>
    <row r="18" spans="1:20" ht="12.75">
      <c r="A18" s="27"/>
      <c r="B18" s="28"/>
      <c r="C18" s="5"/>
      <c r="D18" s="25"/>
      <c r="E18" s="8"/>
      <c r="F18" s="63"/>
      <c r="G18" s="8"/>
      <c r="H18" s="8"/>
      <c r="I18" s="63"/>
      <c r="J18" s="8"/>
      <c r="K18" s="8"/>
      <c r="L18" s="63"/>
      <c r="M18" s="25"/>
      <c r="N18" s="5"/>
      <c r="O18" s="36"/>
      <c r="P18" s="8"/>
      <c r="Q18" s="5"/>
      <c r="R18" s="36"/>
      <c r="S18" s="25"/>
      <c r="T18" s="4"/>
    </row>
    <row r="19" spans="1:20" ht="12.75">
      <c r="A19" s="27" t="s">
        <v>188</v>
      </c>
      <c r="B19" s="28">
        <f>B14</f>
        <v>37620</v>
      </c>
      <c r="C19" s="25">
        <f>C50</f>
        <v>17250</v>
      </c>
      <c r="D19" s="6" t="s">
        <v>200</v>
      </c>
      <c r="E19" s="38"/>
      <c r="F19" s="64"/>
      <c r="G19" s="53"/>
      <c r="H19" s="53"/>
      <c r="I19" s="64"/>
      <c r="J19" s="53"/>
      <c r="K19" s="53"/>
      <c r="L19" s="64"/>
      <c r="M19" s="53"/>
      <c r="N19" s="38">
        <f>C19</f>
        <v>17250</v>
      </c>
      <c r="O19" s="52"/>
      <c r="P19" s="53"/>
      <c r="Q19" s="38"/>
      <c r="R19" s="52">
        <f>C19</f>
        <v>17250</v>
      </c>
      <c r="S19" s="25"/>
      <c r="T19" s="4"/>
    </row>
    <row r="20" spans="1:20" ht="13.5" thickBot="1">
      <c r="A20" s="27"/>
      <c r="B20" s="28"/>
      <c r="C20" s="5"/>
      <c r="D20" s="25"/>
      <c r="E20" s="54">
        <f>SUM(E10:E19)</f>
        <v>265000</v>
      </c>
      <c r="F20" s="55"/>
      <c r="G20" s="56"/>
      <c r="H20" s="54"/>
      <c r="I20" s="55">
        <f>SUM(I10:I16)</f>
        <v>124000</v>
      </c>
      <c r="J20" s="56"/>
      <c r="K20" s="54">
        <f>SUM(K16:K19)</f>
        <v>24000</v>
      </c>
      <c r="L20" s="55"/>
      <c r="M20" s="56"/>
      <c r="N20" s="54">
        <f>SUM(N19)</f>
        <v>17250</v>
      </c>
      <c r="O20" s="55"/>
      <c r="P20" s="56"/>
      <c r="Q20" s="54"/>
      <c r="R20" s="55">
        <f>SUM(R19)</f>
        <v>17250</v>
      </c>
      <c r="S20" s="25"/>
      <c r="T20" s="4"/>
    </row>
    <row r="21" spans="1:20" ht="13.5" thickTop="1">
      <c r="A21" s="27"/>
      <c r="B21" s="28"/>
      <c r="C21" s="5"/>
      <c r="D21" s="25"/>
      <c r="E21" s="5"/>
      <c r="F21" s="36"/>
      <c r="G21" s="8"/>
      <c r="H21" s="5"/>
      <c r="I21" s="36"/>
      <c r="J21" s="8"/>
      <c r="K21" s="5"/>
      <c r="L21" s="36"/>
      <c r="M21" s="8"/>
      <c r="N21" s="5"/>
      <c r="O21" s="36"/>
      <c r="P21" s="8"/>
      <c r="Q21" s="5"/>
      <c r="R21" s="36"/>
      <c r="S21" s="25"/>
      <c r="T21" s="4"/>
    </row>
    <row r="22" spans="1:20" ht="12.75">
      <c r="A22" s="27" t="s">
        <v>174</v>
      </c>
      <c r="B22" s="28">
        <v>37621</v>
      </c>
      <c r="C22" s="5">
        <v>141000</v>
      </c>
      <c r="D22" s="25"/>
      <c r="E22" s="5">
        <f>+E20</f>
        <v>265000</v>
      </c>
      <c r="F22" s="26"/>
      <c r="G22" s="25"/>
      <c r="H22" s="5"/>
      <c r="I22" s="26">
        <f>+I20</f>
        <v>124000</v>
      </c>
      <c r="J22" s="25"/>
      <c r="K22" s="5"/>
      <c r="L22" s="26"/>
      <c r="M22" s="25"/>
      <c r="N22" s="5"/>
      <c r="O22" s="36"/>
      <c r="P22" s="8"/>
      <c r="Q22" s="5"/>
      <c r="R22" s="36">
        <f>R20</f>
        <v>17250</v>
      </c>
      <c r="S22" s="25"/>
      <c r="T22" s="4"/>
    </row>
    <row r="23" spans="1:20" ht="12.75">
      <c r="A23" s="27" t="s">
        <v>21</v>
      </c>
      <c r="B23" s="28">
        <v>37725</v>
      </c>
      <c r="C23" s="5">
        <v>80000</v>
      </c>
      <c r="D23" s="25"/>
      <c r="E23" s="5">
        <f>C23</f>
        <v>80000</v>
      </c>
      <c r="F23" s="26"/>
      <c r="G23" s="25"/>
      <c r="H23" s="5"/>
      <c r="I23" s="26"/>
      <c r="J23" s="25"/>
      <c r="K23" s="5"/>
      <c r="L23" s="26"/>
      <c r="M23" s="25"/>
      <c r="N23" s="5"/>
      <c r="O23" s="36"/>
      <c r="P23" s="8"/>
      <c r="Q23" s="5"/>
      <c r="R23" s="36"/>
      <c r="S23" s="25"/>
      <c r="T23" s="4"/>
    </row>
    <row r="24" spans="1:20" ht="12.75">
      <c r="A24" s="27"/>
      <c r="B24" s="28"/>
      <c r="C24" s="5"/>
      <c r="D24" s="25"/>
      <c r="E24" s="5"/>
      <c r="F24" s="26"/>
      <c r="G24" s="25"/>
      <c r="H24" s="5"/>
      <c r="I24" s="26"/>
      <c r="J24" s="25"/>
      <c r="K24" s="5"/>
      <c r="L24" s="26"/>
      <c r="M24" s="25"/>
      <c r="N24" s="5"/>
      <c r="O24" s="36"/>
      <c r="P24" s="8"/>
      <c r="Q24" s="5"/>
      <c r="R24" s="36"/>
      <c r="S24" s="25"/>
      <c r="T24" s="4"/>
    </row>
    <row r="25" spans="1:20" ht="12.75">
      <c r="A25" s="27" t="s">
        <v>19</v>
      </c>
      <c r="B25" s="28">
        <f>B14+365</f>
        <v>37985</v>
      </c>
      <c r="C25" s="5"/>
      <c r="D25" s="25"/>
      <c r="E25" s="5"/>
      <c r="F25" s="26"/>
      <c r="G25" s="25"/>
      <c r="H25" s="5"/>
      <c r="I25" s="26"/>
      <c r="J25" s="25"/>
      <c r="K25" s="5"/>
      <c r="L25" s="26"/>
      <c r="M25" s="25"/>
      <c r="N25" s="5"/>
      <c r="O25" s="36"/>
      <c r="P25" s="8"/>
      <c r="Q25" s="5"/>
      <c r="R25" s="36"/>
      <c r="S25" s="25"/>
      <c r="T25" s="4"/>
    </row>
    <row r="26" spans="1:20" ht="12.75">
      <c r="A26" s="27" t="s">
        <v>252</v>
      </c>
      <c r="B26" s="4"/>
      <c r="C26" s="5">
        <v>-15000</v>
      </c>
      <c r="D26" s="25"/>
      <c r="E26" s="5"/>
      <c r="F26" s="26"/>
      <c r="G26" s="25"/>
      <c r="H26" s="5"/>
      <c r="I26" s="26"/>
      <c r="J26" s="25"/>
      <c r="K26" s="5"/>
      <c r="L26" s="26"/>
      <c r="M26" s="25"/>
      <c r="N26" s="5"/>
      <c r="O26" s="36"/>
      <c r="P26" s="8"/>
      <c r="Q26" s="5"/>
      <c r="R26" s="36"/>
      <c r="S26" s="25"/>
      <c r="T26" s="4"/>
    </row>
    <row r="27" spans="1:20" ht="12.75">
      <c r="A27" s="27" t="s">
        <v>51</v>
      </c>
      <c r="B27" s="28"/>
      <c r="C27" s="5">
        <v>-18000</v>
      </c>
      <c r="D27" s="25"/>
      <c r="E27" s="5"/>
      <c r="F27" s="26"/>
      <c r="G27" s="25"/>
      <c r="H27" s="5"/>
      <c r="I27" s="26"/>
      <c r="J27" s="25"/>
      <c r="K27" s="5"/>
      <c r="L27" s="26"/>
      <c r="M27" s="25"/>
      <c r="N27" s="5"/>
      <c r="O27" s="36"/>
      <c r="P27" s="8"/>
      <c r="Q27" s="5"/>
      <c r="R27" s="36"/>
      <c r="S27" s="25"/>
      <c r="T27" s="4"/>
    </row>
    <row r="28" spans="1:20" ht="12.75">
      <c r="A28" s="27" t="s">
        <v>59</v>
      </c>
      <c r="B28" s="28"/>
      <c r="C28" s="5">
        <v>-8000</v>
      </c>
      <c r="D28" s="25"/>
      <c r="E28" s="5"/>
      <c r="F28" s="36"/>
      <c r="G28" s="8"/>
      <c r="H28" s="5"/>
      <c r="I28" s="36">
        <f>-(+C26+C27+C28)</f>
        <v>41000</v>
      </c>
      <c r="J28" s="8"/>
      <c r="K28" s="5">
        <f>+I28</f>
        <v>41000</v>
      </c>
      <c r="L28" s="36"/>
      <c r="M28" s="25"/>
      <c r="N28" s="5"/>
      <c r="O28" s="36"/>
      <c r="P28" s="8"/>
      <c r="Q28" s="5"/>
      <c r="R28" s="36"/>
      <c r="S28" s="25"/>
      <c r="T28" s="4"/>
    </row>
    <row r="29" spans="1:20" ht="12.75">
      <c r="A29" s="27" t="s">
        <v>173</v>
      </c>
      <c r="B29" s="28">
        <f>B25</f>
        <v>37985</v>
      </c>
      <c r="C29" s="24">
        <f>SUM(C22:C28)</f>
        <v>180000</v>
      </c>
      <c r="D29" s="25"/>
      <c r="E29" s="5"/>
      <c r="F29" s="36"/>
      <c r="G29" s="8"/>
      <c r="H29" s="5"/>
      <c r="I29" s="36"/>
      <c r="J29" s="36"/>
      <c r="K29" s="5"/>
      <c r="L29" s="36"/>
      <c r="M29" s="8"/>
      <c r="N29" s="5"/>
      <c r="O29" s="8"/>
      <c r="P29" s="8"/>
      <c r="Q29" s="5"/>
      <c r="R29" s="36"/>
      <c r="S29" s="25"/>
      <c r="T29" s="4"/>
    </row>
    <row r="30" spans="1:20" ht="12.75">
      <c r="A30" s="27"/>
      <c r="B30" s="28"/>
      <c r="C30" s="5"/>
      <c r="D30" s="25"/>
      <c r="E30" s="5"/>
      <c r="F30" s="36"/>
      <c r="G30" s="8"/>
      <c r="H30" s="5"/>
      <c r="I30" s="36"/>
      <c r="J30" s="36"/>
      <c r="K30" s="5"/>
      <c r="L30" s="36"/>
      <c r="M30" s="8"/>
      <c r="N30" s="5"/>
      <c r="O30" s="8"/>
      <c r="P30" s="8"/>
      <c r="Q30" s="5"/>
      <c r="R30" s="36"/>
      <c r="S30" s="25"/>
      <c r="T30" s="4"/>
    </row>
    <row r="31" spans="1:20" ht="12.75">
      <c r="A31" s="27" t="s">
        <v>188</v>
      </c>
      <c r="B31" s="28">
        <f>B25</f>
        <v>37985</v>
      </c>
      <c r="C31" s="5">
        <f>C57</f>
        <v>9937.5</v>
      </c>
      <c r="D31" s="25" t="s">
        <v>179</v>
      </c>
      <c r="E31" s="38"/>
      <c r="F31" s="52"/>
      <c r="G31" s="53"/>
      <c r="H31" s="38"/>
      <c r="I31" s="52"/>
      <c r="J31" s="52"/>
      <c r="K31" s="38"/>
      <c r="L31" s="52"/>
      <c r="M31" s="53"/>
      <c r="N31" s="38">
        <f>C31</f>
        <v>9937.5</v>
      </c>
      <c r="O31" s="53"/>
      <c r="P31" s="53"/>
      <c r="Q31" s="38"/>
      <c r="R31" s="68">
        <f>C31</f>
        <v>9937.5</v>
      </c>
      <c r="S31" s="25"/>
      <c r="T31" s="4"/>
    </row>
    <row r="32" spans="1:20" ht="13.5" thickBot="1">
      <c r="A32" s="27"/>
      <c r="B32" s="28"/>
      <c r="C32" s="8"/>
      <c r="D32" s="6"/>
      <c r="E32" s="54">
        <f>SUM(E22:E31)</f>
        <v>345000</v>
      </c>
      <c r="F32" s="56"/>
      <c r="G32" s="56"/>
      <c r="H32" s="54"/>
      <c r="I32" s="55">
        <f>SUM(I22:I31)</f>
        <v>165000</v>
      </c>
      <c r="J32" s="55"/>
      <c r="K32" s="54">
        <f>SUM(K28:K31)</f>
        <v>41000</v>
      </c>
      <c r="L32" s="56"/>
      <c r="M32" s="56"/>
      <c r="N32" s="54">
        <f>SUM(N31)</f>
        <v>9937.5</v>
      </c>
      <c r="O32" s="56"/>
      <c r="P32" s="56"/>
      <c r="Q32" s="54"/>
      <c r="R32" s="55">
        <f>SUM(R22:R31)</f>
        <v>27187.5</v>
      </c>
      <c r="S32" s="25"/>
      <c r="T32" s="4"/>
    </row>
    <row r="33" spans="1:20" ht="13.5" thickTop="1">
      <c r="A33" s="27"/>
      <c r="B33" s="4"/>
      <c r="C33" s="8"/>
      <c r="D33" s="6"/>
      <c r="E33" s="8"/>
      <c r="F33" s="6"/>
      <c r="G33" s="25"/>
      <c r="H33" s="5"/>
      <c r="I33" s="36"/>
      <c r="J33" s="36"/>
      <c r="K33" s="5"/>
      <c r="L33" s="8"/>
      <c r="M33" s="25"/>
      <c r="N33" s="5"/>
      <c r="O33" s="8"/>
      <c r="P33" s="8"/>
      <c r="Q33" s="5"/>
      <c r="R33" s="36"/>
      <c r="S33" s="25"/>
      <c r="T33" s="4"/>
    </row>
    <row r="34" spans="1:20" ht="12.75">
      <c r="A34" s="27" t="s">
        <v>173</v>
      </c>
      <c r="B34" s="28">
        <v>37986</v>
      </c>
      <c r="C34" s="8">
        <f>+E32-I32</f>
        <v>180000</v>
      </c>
      <c r="D34" s="6"/>
      <c r="E34" s="8">
        <f>+E32</f>
        <v>345000</v>
      </c>
      <c r="F34" s="6"/>
      <c r="G34" s="25"/>
      <c r="H34" s="5"/>
      <c r="I34" s="36">
        <f>+I32</f>
        <v>165000</v>
      </c>
      <c r="J34" s="36"/>
      <c r="K34" s="5"/>
      <c r="L34" s="8"/>
      <c r="M34" s="25"/>
      <c r="N34" s="5"/>
      <c r="O34" s="8"/>
      <c r="P34" s="8"/>
      <c r="Q34" s="5"/>
      <c r="R34" s="36">
        <f>+R32</f>
        <v>27187.5</v>
      </c>
      <c r="S34" s="25"/>
      <c r="T34" s="4"/>
    </row>
    <row r="35" spans="1:20" ht="12.75">
      <c r="A35" s="67"/>
      <c r="B35" s="28"/>
      <c r="C35" s="8"/>
      <c r="D35" s="6"/>
      <c r="E35" s="8"/>
      <c r="F35" s="6"/>
      <c r="G35" s="8"/>
      <c r="H35" s="5"/>
      <c r="I35" s="36"/>
      <c r="J35" s="36"/>
      <c r="K35" s="5"/>
      <c r="L35" s="8"/>
      <c r="M35" s="8"/>
      <c r="N35" s="5"/>
      <c r="O35" s="8"/>
      <c r="P35" s="8"/>
      <c r="Q35" s="5"/>
      <c r="R35" s="36"/>
      <c r="S35" s="25"/>
      <c r="T35" s="4"/>
    </row>
    <row r="36" spans="1:20" ht="12.75">
      <c r="A36" s="27" t="s">
        <v>163</v>
      </c>
      <c r="B36" s="28">
        <v>38351</v>
      </c>
      <c r="C36" s="8"/>
      <c r="D36" s="6"/>
      <c r="E36" s="8"/>
      <c r="F36" s="6"/>
      <c r="G36" s="8"/>
      <c r="H36" s="5"/>
      <c r="I36" s="36"/>
      <c r="J36" s="36"/>
      <c r="K36" s="5"/>
      <c r="L36" s="8"/>
      <c r="M36" s="8"/>
      <c r="N36" s="5"/>
      <c r="O36" s="8"/>
      <c r="P36" s="8"/>
      <c r="Q36" s="5"/>
      <c r="R36" s="36"/>
      <c r="S36" s="25"/>
      <c r="T36" s="4"/>
    </row>
    <row r="37" spans="1:20" ht="12.75">
      <c r="A37" s="27" t="s">
        <v>48</v>
      </c>
      <c r="B37" s="4"/>
      <c r="C37" s="8">
        <v>-15000</v>
      </c>
      <c r="D37" s="6"/>
      <c r="E37" s="8"/>
      <c r="F37" s="6"/>
      <c r="G37" s="8"/>
      <c r="H37" s="5"/>
      <c r="I37" s="36"/>
      <c r="J37" s="36"/>
      <c r="K37" s="5"/>
      <c r="L37" s="8"/>
      <c r="M37" s="8"/>
      <c r="N37" s="5"/>
      <c r="O37" s="8"/>
      <c r="P37" s="8"/>
      <c r="Q37" s="5"/>
      <c r="R37" s="36"/>
      <c r="S37" s="25"/>
      <c r="T37" s="4"/>
    </row>
    <row r="38" spans="1:20" ht="12.75">
      <c r="A38" s="27" t="s">
        <v>51</v>
      </c>
      <c r="B38" s="4"/>
      <c r="C38" s="8">
        <v>-18000</v>
      </c>
      <c r="D38" s="6"/>
      <c r="E38" s="8"/>
      <c r="F38" s="6"/>
      <c r="G38" s="8"/>
      <c r="H38" s="5"/>
      <c r="I38" s="36"/>
      <c r="J38" s="36"/>
      <c r="K38" s="5"/>
      <c r="L38" s="8"/>
      <c r="M38" s="8"/>
      <c r="N38" s="5"/>
      <c r="O38" s="8"/>
      <c r="P38" s="8"/>
      <c r="Q38" s="5"/>
      <c r="R38" s="36"/>
      <c r="S38" s="25"/>
      <c r="T38" s="4"/>
    </row>
    <row r="39" spans="1:20" ht="12.75">
      <c r="A39" s="27" t="s">
        <v>181</v>
      </c>
      <c r="B39" s="4"/>
      <c r="C39" s="35">
        <v>-16000</v>
      </c>
      <c r="D39" s="6"/>
      <c r="E39" s="8"/>
      <c r="F39" s="6"/>
      <c r="G39" s="8"/>
      <c r="H39" s="5"/>
      <c r="I39" s="36">
        <f>-(+C37+C38+C39)</f>
        <v>49000</v>
      </c>
      <c r="J39" s="36"/>
      <c r="K39" s="5">
        <f>+I39</f>
        <v>49000</v>
      </c>
      <c r="L39" s="8"/>
      <c r="M39" s="8"/>
      <c r="N39" s="5"/>
      <c r="O39" s="8"/>
      <c r="P39" s="8"/>
      <c r="Q39" s="5"/>
      <c r="R39" s="36"/>
      <c r="S39" s="25"/>
      <c r="T39" s="4"/>
    </row>
    <row r="40" spans="1:20" ht="12.75">
      <c r="A40" s="27" t="s">
        <v>173</v>
      </c>
      <c r="B40" s="28">
        <f>B36</f>
        <v>38351</v>
      </c>
      <c r="C40" s="8">
        <f>SUM(C34:C39)</f>
        <v>131000</v>
      </c>
      <c r="D40" s="6"/>
      <c r="E40" s="8"/>
      <c r="F40" s="6"/>
      <c r="G40" s="8"/>
      <c r="H40" s="5"/>
      <c r="I40" s="36"/>
      <c r="J40" s="36"/>
      <c r="K40" s="5"/>
      <c r="L40" s="8"/>
      <c r="M40" s="8"/>
      <c r="N40" s="5"/>
      <c r="O40" s="8"/>
      <c r="P40" s="8"/>
      <c r="Q40" s="5"/>
      <c r="R40" s="36"/>
      <c r="S40" s="25"/>
      <c r="T40" s="4"/>
    </row>
    <row r="41" spans="1:20" ht="12.75">
      <c r="A41" s="67"/>
      <c r="B41" s="4"/>
      <c r="C41" s="8"/>
      <c r="D41" s="6"/>
      <c r="E41" s="8"/>
      <c r="F41" s="6"/>
      <c r="G41" s="8"/>
      <c r="H41" s="5"/>
      <c r="I41" s="36"/>
      <c r="J41" s="36"/>
      <c r="K41" s="5"/>
      <c r="L41" s="8"/>
      <c r="M41" s="8"/>
      <c r="N41" s="5"/>
      <c r="O41" s="8"/>
      <c r="P41" s="8"/>
      <c r="Q41" s="5"/>
      <c r="R41" s="36"/>
      <c r="S41" s="25"/>
      <c r="T41" s="4"/>
    </row>
    <row r="42" spans="1:20" ht="12.75">
      <c r="A42" s="27" t="s">
        <v>188</v>
      </c>
      <c r="B42" s="28">
        <f>B36</f>
        <v>38351</v>
      </c>
      <c r="C42" s="5">
        <f>C64</f>
        <v>-10796.875</v>
      </c>
      <c r="D42" s="25" t="s">
        <v>60</v>
      </c>
      <c r="E42" s="38"/>
      <c r="F42" s="53"/>
      <c r="G42" s="53"/>
      <c r="H42" s="38"/>
      <c r="I42" s="52"/>
      <c r="J42" s="52"/>
      <c r="K42" s="38"/>
      <c r="L42" s="53"/>
      <c r="M42" s="53"/>
      <c r="N42" s="38"/>
      <c r="O42" s="52">
        <f>-C42</f>
        <v>10796.875</v>
      </c>
      <c r="P42" s="53"/>
      <c r="Q42" s="38">
        <f>-C42</f>
        <v>10796.875</v>
      </c>
      <c r="R42" s="52"/>
      <c r="S42" s="25"/>
      <c r="T42" s="4"/>
    </row>
    <row r="43" spans="1:20" ht="13.5" thickBot="1">
      <c r="A43" s="29"/>
      <c r="B43" s="21"/>
      <c r="C43" s="38"/>
      <c r="D43" s="25"/>
      <c r="E43" s="54">
        <f>+E34</f>
        <v>345000</v>
      </c>
      <c r="F43" s="56"/>
      <c r="G43" s="56"/>
      <c r="H43" s="54"/>
      <c r="I43" s="55">
        <f>SUM(I34:I41)</f>
        <v>214000</v>
      </c>
      <c r="J43" s="55"/>
      <c r="K43" s="54">
        <f>SUM(K39:K42)</f>
        <v>49000</v>
      </c>
      <c r="L43" s="56"/>
      <c r="M43" s="56"/>
      <c r="N43" s="54"/>
      <c r="O43" s="66">
        <f>SUM(O42)</f>
        <v>10796.875</v>
      </c>
      <c r="P43" s="56"/>
      <c r="Q43" s="54"/>
      <c r="R43" s="66">
        <f>+R34-Q42</f>
        <v>16390.625</v>
      </c>
      <c r="S43" s="25"/>
      <c r="T43" s="4"/>
    </row>
    <row r="44" spans="1:20" ht="14.25" customHeight="1" thickTop="1">
      <c r="A44" s="4"/>
      <c r="B44" s="4"/>
      <c r="C44" s="8"/>
      <c r="D44" s="25"/>
      <c r="E44" s="8"/>
      <c r="F44" s="8"/>
      <c r="G44" s="8"/>
      <c r="H44" s="8"/>
      <c r="I44" s="8"/>
      <c r="J44" s="36"/>
      <c r="K44" s="8"/>
      <c r="L44" s="8"/>
      <c r="M44" s="8"/>
      <c r="N44" s="8"/>
      <c r="O44" s="8"/>
      <c r="P44" s="8"/>
      <c r="Q44" s="8"/>
      <c r="R44" s="36"/>
      <c r="S44" s="25"/>
      <c r="T44" s="4"/>
    </row>
    <row r="45" spans="1:20" ht="12.75">
      <c r="A45" s="33" t="s">
        <v>200</v>
      </c>
      <c r="B45" s="28"/>
      <c r="C45" s="35"/>
      <c r="D45" s="8"/>
      <c r="E45" s="8"/>
      <c r="F45" s="8"/>
      <c r="G45" s="8"/>
      <c r="H45" s="8"/>
      <c r="I45" s="8"/>
      <c r="J45" s="36"/>
      <c r="K45" s="8"/>
      <c r="L45" s="8"/>
      <c r="M45" s="8"/>
      <c r="N45" s="8"/>
      <c r="O45" s="8"/>
      <c r="P45" s="8"/>
      <c r="Q45" s="8"/>
      <c r="R45" s="36"/>
      <c r="S45" s="25"/>
      <c r="T45" s="4"/>
    </row>
    <row r="46" spans="1:20" ht="12.75">
      <c r="A46" s="33" t="s">
        <v>180</v>
      </c>
      <c r="B46" s="28"/>
      <c r="C46" s="8">
        <f>+E20-I10</f>
        <v>165000</v>
      </c>
      <c r="D46" s="25"/>
      <c r="E46" s="8"/>
      <c r="F46" s="8"/>
      <c r="G46" s="8"/>
      <c r="H46" s="8"/>
      <c r="I46" s="8"/>
      <c r="J46" s="36"/>
      <c r="K46" s="8"/>
      <c r="L46" s="8"/>
      <c r="M46" s="8"/>
      <c r="N46" s="8"/>
      <c r="O46" s="8"/>
      <c r="P46" s="8"/>
      <c r="Q46" s="8"/>
      <c r="R46" s="36"/>
      <c r="S46" s="25"/>
      <c r="T46" s="4"/>
    </row>
    <row r="47" spans="1:20" ht="9.75" customHeight="1">
      <c r="A47" s="33"/>
      <c r="B47" s="28"/>
      <c r="C47" s="8"/>
      <c r="D47" s="25"/>
      <c r="E47" s="8"/>
      <c r="F47" s="8"/>
      <c r="G47" s="8"/>
      <c r="H47" s="8"/>
      <c r="I47" s="8"/>
      <c r="J47" s="36"/>
      <c r="K47" s="8"/>
      <c r="L47" s="8"/>
      <c r="M47" s="8"/>
      <c r="N47" s="8"/>
      <c r="O47" s="8"/>
      <c r="P47" s="8"/>
      <c r="Q47" s="8"/>
      <c r="R47" s="36"/>
      <c r="S47" s="25"/>
      <c r="T47" s="4"/>
    </row>
    <row r="48" spans="1:20" ht="12.75">
      <c r="A48" s="33" t="s">
        <v>191</v>
      </c>
      <c r="B48" s="28"/>
      <c r="C48" s="8">
        <f>+C46*0.25</f>
        <v>41250</v>
      </c>
      <c r="D48" s="25"/>
      <c r="E48" s="8"/>
      <c r="F48" s="8"/>
      <c r="G48" s="8"/>
      <c r="H48" s="8"/>
      <c r="I48" s="8"/>
      <c r="J48" s="36"/>
      <c r="K48" s="8"/>
      <c r="L48" s="8"/>
      <c r="M48" s="8"/>
      <c r="N48" s="8"/>
      <c r="O48" s="8"/>
      <c r="P48" s="8"/>
      <c r="Q48" s="8"/>
      <c r="R48" s="8"/>
      <c r="S48" s="25"/>
      <c r="T48" s="4"/>
    </row>
    <row r="49" spans="1:20" ht="12.75">
      <c r="A49" s="33" t="s">
        <v>19</v>
      </c>
      <c r="B49" s="28"/>
      <c r="C49" s="35">
        <v>-24000</v>
      </c>
      <c r="D49" s="25"/>
      <c r="E49" s="8"/>
      <c r="F49" s="8"/>
      <c r="G49" s="8"/>
      <c r="H49" s="8"/>
      <c r="I49" s="36"/>
      <c r="J49" s="36"/>
      <c r="K49" s="8"/>
      <c r="L49" s="8"/>
      <c r="M49" s="8"/>
      <c r="N49" s="8"/>
      <c r="O49" s="8"/>
      <c r="P49" s="8"/>
      <c r="Q49" s="8"/>
      <c r="R49" s="8"/>
      <c r="S49" s="25"/>
      <c r="T49" s="4"/>
    </row>
    <row r="50" spans="1:20" ht="12.75">
      <c r="A50" s="4" t="s">
        <v>188</v>
      </c>
      <c r="B50" s="9">
        <v>37620</v>
      </c>
      <c r="C50" s="25">
        <f>SUM(C48:C49)</f>
        <v>17250</v>
      </c>
      <c r="D50" s="25" t="s">
        <v>111</v>
      </c>
      <c r="E50" s="8"/>
      <c r="F50" s="8"/>
      <c r="G50" s="8"/>
      <c r="H50" s="8"/>
      <c r="I50" s="8"/>
      <c r="J50" s="36"/>
      <c r="K50" s="8"/>
      <c r="L50" s="8"/>
      <c r="M50" s="8"/>
      <c r="N50" s="8"/>
      <c r="O50" s="36"/>
      <c r="P50" s="8"/>
      <c r="Q50" s="8"/>
      <c r="R50" s="8"/>
      <c r="S50" s="25"/>
      <c r="T50" s="4"/>
    </row>
    <row r="51" spans="1:20" ht="12.75">
      <c r="A51" s="4"/>
      <c r="B51" s="9"/>
      <c r="C51" s="25"/>
      <c r="D51" s="25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25"/>
      <c r="T51" s="4"/>
    </row>
    <row r="52" spans="1:20" ht="12.75">
      <c r="A52" s="4" t="s">
        <v>179</v>
      </c>
      <c r="B52" s="9"/>
      <c r="C52" s="25"/>
      <c r="D52" s="2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25"/>
      <c r="T52" s="4"/>
    </row>
    <row r="53" spans="1:20" ht="12.75">
      <c r="A53" s="33" t="s">
        <v>180</v>
      </c>
      <c r="B53" s="9"/>
      <c r="C53" s="25">
        <f>+C46-C48+C23</f>
        <v>203750</v>
      </c>
      <c r="D53" s="25"/>
      <c r="E53" s="8"/>
      <c r="F53" s="8"/>
      <c r="G53" s="8"/>
      <c r="H53" s="8"/>
      <c r="I53" s="36"/>
      <c r="J53" s="8"/>
      <c r="K53" s="8"/>
      <c r="L53" s="36"/>
      <c r="M53" s="8"/>
      <c r="N53" s="8"/>
      <c r="O53" s="36"/>
      <c r="P53" s="8"/>
      <c r="Q53" s="8"/>
      <c r="R53" s="36"/>
      <c r="S53" s="25"/>
      <c r="T53" s="4"/>
    </row>
    <row r="54" spans="1:20" ht="9.75" customHeight="1">
      <c r="A54" s="33"/>
      <c r="B54" s="9"/>
      <c r="C54" s="25"/>
      <c r="D54" s="25"/>
      <c r="E54" s="8"/>
      <c r="F54" s="8"/>
      <c r="G54" s="8"/>
      <c r="H54" s="8"/>
      <c r="I54" s="36"/>
      <c r="J54" s="8"/>
      <c r="K54" s="8"/>
      <c r="L54" s="36"/>
      <c r="M54" s="8"/>
      <c r="N54" s="8"/>
      <c r="O54" s="36"/>
      <c r="P54" s="8"/>
      <c r="Q54" s="8"/>
      <c r="R54" s="36"/>
      <c r="S54" s="25"/>
      <c r="T54" s="4"/>
    </row>
    <row r="55" spans="1:20" ht="12.75">
      <c r="A55" s="4" t="s">
        <v>191</v>
      </c>
      <c r="B55" s="9"/>
      <c r="C55" s="25">
        <f>+C53*0.25</f>
        <v>50937.5</v>
      </c>
      <c r="D55" s="25"/>
      <c r="E55" s="8"/>
      <c r="F55" s="8"/>
      <c r="G55" s="8"/>
      <c r="H55" s="8"/>
      <c r="I55" s="36"/>
      <c r="J55" s="8"/>
      <c r="K55" s="8"/>
      <c r="L55" s="36"/>
      <c r="M55" s="8"/>
      <c r="N55" s="8"/>
      <c r="O55" s="36"/>
      <c r="P55" s="8"/>
      <c r="Q55" s="8"/>
      <c r="R55" s="36"/>
      <c r="S55" s="25"/>
      <c r="T55" s="4"/>
    </row>
    <row r="56" spans="1:20" ht="12.75">
      <c r="A56" s="4" t="s">
        <v>19</v>
      </c>
      <c r="B56" s="9"/>
      <c r="C56" s="50">
        <v>-41000</v>
      </c>
      <c r="D56" s="25"/>
      <c r="E56" s="8"/>
      <c r="F56" s="8"/>
      <c r="G56" s="8"/>
      <c r="H56" s="8"/>
      <c r="I56" s="36"/>
      <c r="J56" s="8"/>
      <c r="K56" s="8"/>
      <c r="L56" s="36"/>
      <c r="M56" s="8"/>
      <c r="N56" s="8"/>
      <c r="O56" s="36"/>
      <c r="P56" s="8"/>
      <c r="Q56" s="8"/>
      <c r="R56" s="36"/>
      <c r="S56" s="25"/>
      <c r="T56" s="4"/>
    </row>
    <row r="57" spans="1:20" ht="12.75">
      <c r="A57" s="33" t="s">
        <v>188</v>
      </c>
      <c r="B57" s="28">
        <v>37985</v>
      </c>
      <c r="C57" s="8">
        <f>SUM(C55:C56)</f>
        <v>9937.5</v>
      </c>
      <c r="D57" s="8"/>
      <c r="E57" s="8"/>
      <c r="F57" s="8"/>
      <c r="G57" s="8"/>
      <c r="H57" s="8"/>
      <c r="I57" s="36"/>
      <c r="J57" s="8"/>
      <c r="K57" s="8"/>
      <c r="L57" s="36"/>
      <c r="M57" s="8"/>
      <c r="N57" s="8"/>
      <c r="O57" s="36"/>
      <c r="P57" s="8"/>
      <c r="Q57" s="8"/>
      <c r="R57" s="36"/>
      <c r="S57" s="25"/>
      <c r="T57" s="4"/>
    </row>
    <row r="58" spans="1:20" ht="12.75">
      <c r="A58" s="33"/>
      <c r="B58" s="28"/>
      <c r="C58" s="8"/>
      <c r="D58" s="8"/>
      <c r="E58" s="8"/>
      <c r="F58" s="8"/>
      <c r="G58" s="8"/>
      <c r="H58" s="8"/>
      <c r="I58" s="36"/>
      <c r="J58" s="8"/>
      <c r="K58" s="8"/>
      <c r="L58" s="36"/>
      <c r="M58" s="8"/>
      <c r="N58" s="8"/>
      <c r="O58" s="36"/>
      <c r="P58" s="8"/>
      <c r="Q58" s="8"/>
      <c r="R58" s="36"/>
      <c r="S58" s="25"/>
      <c r="T58" s="4"/>
    </row>
    <row r="59" spans="1:20" ht="12.75">
      <c r="A59" s="33" t="s">
        <v>60</v>
      </c>
      <c r="B59" s="28"/>
      <c r="C59" s="8"/>
      <c r="D59" s="8"/>
      <c r="E59" s="8"/>
      <c r="F59" s="8"/>
      <c r="G59" s="8"/>
      <c r="H59" s="8"/>
      <c r="I59" s="36"/>
      <c r="J59" s="8"/>
      <c r="K59" s="8"/>
      <c r="L59" s="36"/>
      <c r="M59" s="8"/>
      <c r="N59" s="8"/>
      <c r="O59" s="36"/>
      <c r="P59" s="8"/>
      <c r="Q59" s="8"/>
      <c r="R59" s="36"/>
      <c r="S59" s="25"/>
      <c r="T59" s="4"/>
    </row>
    <row r="60" spans="1:20" ht="12.75">
      <c r="A60" s="33" t="s">
        <v>180</v>
      </c>
      <c r="B60" s="28"/>
      <c r="C60" s="8">
        <f>+C53-C55</f>
        <v>152812.5</v>
      </c>
      <c r="D60" s="8"/>
      <c r="E60" s="8"/>
      <c r="F60" s="8"/>
      <c r="G60" s="8"/>
      <c r="H60" s="8"/>
      <c r="I60" s="36"/>
      <c r="J60" s="8"/>
      <c r="K60" s="8"/>
      <c r="L60" s="36"/>
      <c r="M60" s="8"/>
      <c r="N60" s="8"/>
      <c r="O60" s="36"/>
      <c r="P60" s="8"/>
      <c r="Q60" s="8"/>
      <c r="R60" s="36"/>
      <c r="S60" s="25"/>
      <c r="T60" s="4"/>
    </row>
    <row r="61" spans="1:20" ht="9.75" customHeight="1">
      <c r="A61" s="33"/>
      <c r="B61" s="28"/>
      <c r="C61" s="8"/>
      <c r="D61" s="8"/>
      <c r="E61" s="8"/>
      <c r="F61" s="8"/>
      <c r="G61" s="8"/>
      <c r="H61" s="8"/>
      <c r="I61" s="36"/>
      <c r="J61" s="8"/>
      <c r="K61" s="8"/>
      <c r="L61" s="36"/>
      <c r="M61" s="8"/>
      <c r="N61" s="8"/>
      <c r="O61" s="36"/>
      <c r="P61" s="8"/>
      <c r="Q61" s="8"/>
      <c r="R61" s="36"/>
      <c r="S61" s="25"/>
      <c r="T61" s="4"/>
    </row>
    <row r="62" spans="1:20" ht="12.75">
      <c r="A62" s="33" t="s">
        <v>191</v>
      </c>
      <c r="B62" s="28"/>
      <c r="C62" s="8">
        <f>+C60*0.25</f>
        <v>38203.125</v>
      </c>
      <c r="D62" s="25"/>
      <c r="E62" s="8"/>
      <c r="F62" s="8"/>
      <c r="G62" s="8"/>
      <c r="H62" s="8"/>
      <c r="I62" s="36"/>
      <c r="J62" s="8"/>
      <c r="K62" s="8"/>
      <c r="L62" s="36"/>
      <c r="M62" s="8"/>
      <c r="N62" s="8"/>
      <c r="O62" s="36"/>
      <c r="P62" s="8"/>
      <c r="Q62" s="8"/>
      <c r="R62" s="36"/>
      <c r="S62" s="25"/>
      <c r="T62" s="4"/>
    </row>
    <row r="63" spans="1:20" ht="12.75">
      <c r="A63" s="4" t="s">
        <v>19</v>
      </c>
      <c r="B63" s="9"/>
      <c r="C63" s="50">
        <v>-49000</v>
      </c>
      <c r="D63" s="25"/>
      <c r="E63" s="8"/>
      <c r="F63" s="36"/>
      <c r="G63" s="8"/>
      <c r="H63" s="8"/>
      <c r="I63" s="36"/>
      <c r="J63" s="8"/>
      <c r="K63" s="8"/>
      <c r="L63" s="36"/>
      <c r="M63" s="8"/>
      <c r="N63" s="8"/>
      <c r="O63" s="36"/>
      <c r="P63" s="8"/>
      <c r="Q63" s="8"/>
      <c r="R63" s="36"/>
      <c r="S63" s="25"/>
      <c r="T63" s="4"/>
    </row>
    <row r="64" spans="1:20" ht="12.75">
      <c r="A64" s="33" t="s">
        <v>188</v>
      </c>
      <c r="B64" s="28">
        <v>38351</v>
      </c>
      <c r="C64" s="8">
        <f>SUM(C62:C63)</f>
        <v>-10796.875</v>
      </c>
      <c r="D64" s="8"/>
      <c r="E64" s="8"/>
      <c r="F64" s="36"/>
      <c r="G64" s="8"/>
      <c r="H64" s="8"/>
      <c r="I64" s="36"/>
      <c r="J64" s="8"/>
      <c r="K64" s="8"/>
      <c r="L64" s="36"/>
      <c r="M64" s="8"/>
      <c r="N64" s="8"/>
      <c r="O64" s="36"/>
      <c r="P64" s="8"/>
      <c r="Q64" s="8"/>
      <c r="R64" s="36"/>
      <c r="S64" s="25"/>
      <c r="T64" s="4"/>
    </row>
    <row r="65" spans="1:20" ht="12.75">
      <c r="A65" s="33"/>
      <c r="B65" s="28"/>
      <c r="C65" s="8"/>
      <c r="D65" s="8"/>
      <c r="E65" s="8"/>
      <c r="F65" s="36"/>
      <c r="G65" s="8"/>
      <c r="H65" s="8"/>
      <c r="I65" s="36"/>
      <c r="J65" s="8"/>
      <c r="K65" s="8"/>
      <c r="L65" s="36"/>
      <c r="M65" s="8"/>
      <c r="N65" s="8"/>
      <c r="O65" s="36"/>
      <c r="P65" s="8"/>
      <c r="Q65" s="8"/>
      <c r="R65" s="36"/>
      <c r="S65" s="25"/>
      <c r="T65" s="4"/>
    </row>
    <row r="66" spans="1:20" ht="12.75">
      <c r="A66" s="33"/>
      <c r="B66" s="28"/>
      <c r="C66" s="8"/>
      <c r="D66" s="8"/>
      <c r="E66" s="8"/>
      <c r="F66" s="36"/>
      <c r="G66" s="8"/>
      <c r="H66" s="8"/>
      <c r="I66" s="36"/>
      <c r="J66" s="8"/>
      <c r="K66" s="8"/>
      <c r="L66" s="36"/>
      <c r="M66" s="8"/>
      <c r="N66" s="8"/>
      <c r="O66" s="36"/>
      <c r="P66" s="8"/>
      <c r="Q66" s="8"/>
      <c r="R66" s="36"/>
      <c r="S66" s="25"/>
      <c r="T66" s="4"/>
    </row>
    <row r="67" spans="1:20" ht="12.75">
      <c r="A67" s="33"/>
      <c r="B67" s="28"/>
      <c r="C67" s="8"/>
      <c r="D67" s="8"/>
      <c r="E67" s="8"/>
      <c r="F67" s="36"/>
      <c r="G67" s="8"/>
      <c r="H67" s="8"/>
      <c r="I67" s="36"/>
      <c r="J67" s="8"/>
      <c r="K67" s="8"/>
      <c r="L67" s="36"/>
      <c r="M67" s="8"/>
      <c r="N67" s="8"/>
      <c r="O67" s="36"/>
      <c r="P67" s="8"/>
      <c r="Q67" s="8"/>
      <c r="R67" s="36"/>
      <c r="S67" s="25"/>
      <c r="T67" s="4"/>
    </row>
    <row r="68" spans="1:20" ht="12.75">
      <c r="A68" s="33"/>
      <c r="B68" s="28"/>
      <c r="C68" s="8"/>
      <c r="D68" s="8"/>
      <c r="E68" s="8"/>
      <c r="F68" s="36"/>
      <c r="G68" s="8"/>
      <c r="H68" s="8"/>
      <c r="I68" s="36"/>
      <c r="J68" s="8"/>
      <c r="K68" s="8"/>
      <c r="L68" s="36"/>
      <c r="M68" s="8"/>
      <c r="N68" s="8"/>
      <c r="O68" s="36"/>
      <c r="P68" s="8"/>
      <c r="Q68" s="8"/>
      <c r="R68" s="36"/>
      <c r="S68" s="25"/>
      <c r="T68" s="4"/>
    </row>
    <row r="69" spans="1:20" ht="12.75">
      <c r="A69" s="33"/>
      <c r="B69" s="28"/>
      <c r="C69" s="8"/>
      <c r="D69" s="8"/>
      <c r="E69" s="8"/>
      <c r="F69" s="36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4"/>
    </row>
    <row r="70" spans="1:20" ht="12.75">
      <c r="A70" s="33"/>
      <c r="B70" s="28"/>
      <c r="C70" s="8"/>
      <c r="D70" s="8"/>
      <c r="E70" s="8"/>
      <c r="F70" s="36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4"/>
    </row>
    <row r="71" spans="1:20" ht="12.75">
      <c r="A71" s="33"/>
      <c r="B71" s="4"/>
      <c r="C71" s="8"/>
      <c r="D71" s="8"/>
      <c r="E71" s="8"/>
      <c r="F71" s="36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4"/>
    </row>
    <row r="72" spans="1:20" ht="12.75">
      <c r="A72" s="33"/>
      <c r="C72" s="8"/>
      <c r="D72" s="8"/>
      <c r="E72" s="8"/>
      <c r="F72" s="36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4"/>
    </row>
    <row r="73" spans="1:20" ht="12.75">
      <c r="A73" s="4"/>
      <c r="B73" s="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4"/>
    </row>
    <row r="74" spans="1:20" ht="12.75">
      <c r="A74" s="4"/>
      <c r="B74" s="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4"/>
    </row>
    <row r="75" spans="1:20" ht="12.75">
      <c r="A75" s="4"/>
      <c r="B75" s="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4"/>
    </row>
    <row r="76" spans="1:20" ht="12.75">
      <c r="A76" s="4"/>
      <c r="B76" s="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4"/>
    </row>
    <row r="77" spans="1:20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</sheetData>
  <printOptions/>
  <pageMargins left="0.75" right="0.41" top="0.72" bottom="1" header="0.5" footer="0.5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2"/>
  <sheetViews>
    <sheetView workbookViewId="0" topLeftCell="A1">
      <selection activeCell="C26" sqref="C26"/>
    </sheetView>
  </sheetViews>
  <sheetFormatPr defaultColWidth="9.00390625" defaultRowHeight="12.75"/>
  <cols>
    <col min="1" max="1" width="23.625" style="0" customWidth="1"/>
    <col min="2" max="2" width="10.75390625" style="0" customWidth="1"/>
    <col min="3" max="3" width="8.00390625" style="0" customWidth="1"/>
    <col min="4" max="4" width="4.125" style="0" customWidth="1"/>
    <col min="5" max="5" width="7.375" style="0" customWidth="1"/>
    <col min="6" max="6" width="7.875" style="0" customWidth="1"/>
    <col min="7" max="7" width="1.625" style="0" customWidth="1"/>
    <col min="8" max="8" width="6.75390625" style="0" customWidth="1"/>
    <col min="9" max="9" width="9.375" style="0" customWidth="1"/>
    <col min="10" max="10" width="1.37890625" style="0" customWidth="1"/>
    <col min="11" max="11" width="6.75390625" style="0" customWidth="1"/>
    <col min="12" max="12" width="7.125" style="0" customWidth="1"/>
    <col min="13" max="13" width="1.00390625" style="0" customWidth="1"/>
    <col min="14" max="14" width="6.375" style="0" customWidth="1"/>
    <col min="15" max="15" width="6.125" style="0" customWidth="1"/>
    <col min="16" max="16" width="1.12109375" style="7" customWidth="1"/>
    <col min="17" max="18" width="6.00390625" style="0" customWidth="1"/>
    <col min="19" max="19" width="1.25" style="0" customWidth="1"/>
    <col min="20" max="20" width="5.00390625" style="0" customWidth="1"/>
    <col min="21" max="21" width="6.00390625" style="0" customWidth="1"/>
  </cols>
  <sheetData>
    <row r="1" ht="12.75">
      <c r="A1" s="16" t="s">
        <v>156</v>
      </c>
    </row>
    <row r="2" ht="12.75">
      <c r="A2" s="16"/>
    </row>
    <row r="3" ht="12.75">
      <c r="A3" s="10" t="s">
        <v>424</v>
      </c>
    </row>
    <row r="4" spans="2:32" ht="12.75">
      <c r="B4" s="9"/>
      <c r="C4" s="25"/>
      <c r="D4" s="65"/>
      <c r="E4" s="25"/>
      <c r="F4" s="25"/>
      <c r="G4" s="25"/>
      <c r="H4" s="25"/>
      <c r="I4" s="25"/>
      <c r="J4" s="26"/>
      <c r="K4" s="4"/>
      <c r="L4" s="4"/>
      <c r="M4" s="4"/>
      <c r="N4" s="4"/>
      <c r="O4" s="4"/>
      <c r="P4" s="33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2.75">
      <c r="A5" s="33" t="s">
        <v>421</v>
      </c>
      <c r="B5" s="9"/>
      <c r="C5" s="25"/>
      <c r="D5" s="25"/>
      <c r="E5" s="25"/>
      <c r="F5" s="25"/>
      <c r="G5" s="25"/>
      <c r="H5" s="25"/>
      <c r="I5" s="25"/>
      <c r="J5" s="26"/>
      <c r="K5" s="4"/>
      <c r="L5" s="4"/>
      <c r="M5" s="4"/>
      <c r="N5" s="4"/>
      <c r="O5" s="4"/>
      <c r="P5" s="3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>
      <c r="A6" s="33" t="s">
        <v>425</v>
      </c>
      <c r="B6" s="9"/>
      <c r="C6" s="25"/>
      <c r="D6" s="25"/>
      <c r="E6" s="25"/>
      <c r="F6" s="25"/>
      <c r="G6" s="25"/>
      <c r="H6" s="25"/>
      <c r="I6" s="25"/>
      <c r="J6" s="26"/>
      <c r="K6" s="4"/>
      <c r="L6" s="4"/>
      <c r="M6" s="4"/>
      <c r="N6" s="4"/>
      <c r="O6" s="4"/>
      <c r="P6" s="3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33" t="s">
        <v>427</v>
      </c>
      <c r="B7" s="9"/>
      <c r="C7" s="25"/>
      <c r="D7" s="25"/>
      <c r="E7" s="25"/>
      <c r="F7" s="25"/>
      <c r="G7" s="25"/>
      <c r="H7" s="25"/>
      <c r="I7" s="25"/>
      <c r="J7" s="26"/>
      <c r="K7" s="4"/>
      <c r="L7" s="4"/>
      <c r="M7" s="4"/>
      <c r="N7" s="4"/>
      <c r="O7" s="4"/>
      <c r="P7" s="3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2.75">
      <c r="A8" s="134" t="s">
        <v>426</v>
      </c>
      <c r="B8" s="9"/>
      <c r="C8" s="25"/>
      <c r="D8" s="25"/>
      <c r="E8" s="25"/>
      <c r="F8" s="25"/>
      <c r="G8" s="25"/>
      <c r="H8" s="25"/>
      <c r="I8" s="25"/>
      <c r="J8" s="26"/>
      <c r="K8" s="4"/>
      <c r="L8" s="4"/>
      <c r="M8" s="4"/>
      <c r="N8" s="4"/>
      <c r="O8" s="4"/>
      <c r="P8" s="3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2.75">
      <c r="A9" s="4"/>
      <c r="B9" s="9"/>
      <c r="C9" s="25"/>
      <c r="D9" s="25"/>
      <c r="E9" s="4" t="s">
        <v>18</v>
      </c>
      <c r="F9" s="4"/>
      <c r="G9" s="4"/>
      <c r="H9" s="4" t="s">
        <v>45</v>
      </c>
      <c r="I9" s="4"/>
      <c r="J9" s="4"/>
      <c r="K9" s="148" t="s">
        <v>234</v>
      </c>
      <c r="L9" s="148"/>
      <c r="M9" s="4"/>
      <c r="N9" s="148" t="s">
        <v>189</v>
      </c>
      <c r="O9" s="148"/>
      <c r="P9" s="33"/>
      <c r="Q9" s="148" t="s">
        <v>310</v>
      </c>
      <c r="R9" s="148"/>
      <c r="S9" s="33"/>
      <c r="T9" s="148" t="s">
        <v>308</v>
      </c>
      <c r="U9" s="148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.75">
      <c r="A10" s="4"/>
      <c r="B10" s="9"/>
      <c r="C10" s="25"/>
      <c r="D10" s="25"/>
      <c r="E10" s="21" t="s">
        <v>47</v>
      </c>
      <c r="F10" s="21"/>
      <c r="G10" s="4"/>
      <c r="H10" s="21" t="s">
        <v>47</v>
      </c>
      <c r="I10" s="21"/>
      <c r="J10" s="4"/>
      <c r="K10" s="149" t="s">
        <v>117</v>
      </c>
      <c r="L10" s="149"/>
      <c r="M10" s="4"/>
      <c r="N10" s="149" t="s">
        <v>190</v>
      </c>
      <c r="O10" s="149"/>
      <c r="P10" s="33"/>
      <c r="Q10" s="149" t="s">
        <v>198</v>
      </c>
      <c r="R10" s="149"/>
      <c r="S10" s="33"/>
      <c r="T10" s="149" t="s">
        <v>309</v>
      </c>
      <c r="U10" s="149"/>
      <c r="V10" s="4"/>
      <c r="W10" s="33"/>
      <c r="X10" s="33"/>
      <c r="Y10" s="4"/>
      <c r="Z10" s="4"/>
      <c r="AA10" s="4"/>
      <c r="AB10" s="4"/>
      <c r="AC10" s="4"/>
      <c r="AD10" s="4"/>
      <c r="AE10" s="4"/>
      <c r="AF10" s="4"/>
    </row>
    <row r="11" spans="1:32" ht="12.75">
      <c r="A11" s="22" t="s">
        <v>173</v>
      </c>
      <c r="B11" s="23">
        <v>37256</v>
      </c>
      <c r="C11" s="24">
        <v>75000</v>
      </c>
      <c r="D11" s="25"/>
      <c r="E11" s="5">
        <v>175000</v>
      </c>
      <c r="F11" s="26"/>
      <c r="G11" s="25"/>
      <c r="H11" s="5"/>
      <c r="I11" s="26">
        <v>100000</v>
      </c>
      <c r="J11" s="4"/>
      <c r="K11" s="5"/>
      <c r="L11" s="26"/>
      <c r="M11" s="4"/>
      <c r="N11" s="5"/>
      <c r="O11" s="26"/>
      <c r="P11" s="36"/>
      <c r="Q11" s="5"/>
      <c r="R11" s="36"/>
      <c r="S11" s="8"/>
      <c r="T11" s="5"/>
      <c r="U11" s="36"/>
      <c r="V11" s="4"/>
      <c r="W11" s="8"/>
      <c r="X11" s="36"/>
      <c r="Y11" s="4"/>
      <c r="Z11" s="4"/>
      <c r="AA11" s="4"/>
      <c r="AB11" s="4"/>
      <c r="AC11" s="4"/>
      <c r="AD11" s="4"/>
      <c r="AE11" s="4"/>
      <c r="AF11" s="4"/>
    </row>
    <row r="12" spans="1:32" ht="12.75">
      <c r="A12" s="27"/>
      <c r="B12" s="28"/>
      <c r="C12" s="5"/>
      <c r="D12" s="25"/>
      <c r="E12" s="5"/>
      <c r="F12" s="26"/>
      <c r="G12" s="25"/>
      <c r="H12" s="5"/>
      <c r="I12" s="26"/>
      <c r="J12" s="4"/>
      <c r="K12" s="5"/>
      <c r="L12" s="26"/>
      <c r="M12" s="4"/>
      <c r="N12" s="5"/>
      <c r="O12" s="26"/>
      <c r="P12" s="36"/>
      <c r="Q12" s="5"/>
      <c r="R12" s="36"/>
      <c r="S12" s="8"/>
      <c r="T12" s="5"/>
      <c r="U12" s="36"/>
      <c r="V12" s="4"/>
      <c r="W12" s="8"/>
      <c r="X12" s="36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27" t="s">
        <v>20</v>
      </c>
      <c r="B13" s="28">
        <v>37437</v>
      </c>
      <c r="C13" s="5">
        <v>90000</v>
      </c>
      <c r="D13" s="25"/>
      <c r="E13" s="5">
        <f>C13</f>
        <v>90000</v>
      </c>
      <c r="F13" s="26"/>
      <c r="G13" s="25"/>
      <c r="H13" s="5"/>
      <c r="I13" s="26"/>
      <c r="J13" s="4"/>
      <c r="K13" s="5"/>
      <c r="L13" s="26"/>
      <c r="M13" s="4"/>
      <c r="N13" s="5"/>
      <c r="O13" s="26"/>
      <c r="P13" s="36"/>
      <c r="Q13" s="5"/>
      <c r="R13" s="36"/>
      <c r="S13" s="8"/>
      <c r="T13" s="5"/>
      <c r="U13" s="36"/>
      <c r="V13" s="4"/>
      <c r="W13" s="8"/>
      <c r="X13" s="36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7"/>
      <c r="B14" s="28"/>
      <c r="C14" s="5"/>
      <c r="D14" s="25"/>
      <c r="E14" s="5"/>
      <c r="F14" s="26"/>
      <c r="G14" s="25"/>
      <c r="H14" s="5"/>
      <c r="I14" s="26"/>
      <c r="J14" s="4"/>
      <c r="K14" s="5"/>
      <c r="L14" s="26"/>
      <c r="M14" s="4"/>
      <c r="N14" s="5"/>
      <c r="O14" s="26"/>
      <c r="P14" s="36"/>
      <c r="Q14" s="5"/>
      <c r="R14" s="36"/>
      <c r="S14" s="8"/>
      <c r="T14" s="5"/>
      <c r="U14" s="36"/>
      <c r="V14" s="4"/>
      <c r="W14" s="8"/>
      <c r="X14" s="36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7" t="s">
        <v>19</v>
      </c>
      <c r="B15" s="28">
        <v>37620</v>
      </c>
      <c r="C15" s="5"/>
      <c r="D15" s="25"/>
      <c r="E15" s="5"/>
      <c r="F15" s="26"/>
      <c r="G15" s="25"/>
      <c r="H15" s="5"/>
      <c r="I15" s="26"/>
      <c r="J15" s="4"/>
      <c r="K15" s="5"/>
      <c r="L15" s="26"/>
      <c r="M15" s="4"/>
      <c r="N15" s="5"/>
      <c r="O15" s="26"/>
      <c r="P15" s="36"/>
      <c r="Q15" s="5"/>
      <c r="R15" s="36"/>
      <c r="S15" s="8"/>
      <c r="T15" s="5"/>
      <c r="U15" s="36"/>
      <c r="V15" s="4"/>
      <c r="W15" s="8"/>
      <c r="X15" s="36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7" t="str">
        <f>'liite 3b'!A15</f>
        <v> - ennen tilikautta 2006 hankituista</v>
      </c>
      <c r="B16" s="28"/>
      <c r="C16" s="5">
        <v>-15000</v>
      </c>
      <c r="D16" s="25"/>
      <c r="E16" s="5"/>
      <c r="F16" s="26"/>
      <c r="G16" s="25"/>
      <c r="H16" s="5"/>
      <c r="I16" s="26">
        <f>-C16</f>
        <v>15000</v>
      </c>
      <c r="J16" s="4"/>
      <c r="K16" s="5">
        <f>+I16</f>
        <v>15000</v>
      </c>
      <c r="L16" s="26"/>
      <c r="M16" s="4"/>
      <c r="N16" s="5"/>
      <c r="O16" s="26"/>
      <c r="P16" s="36"/>
      <c r="Q16" s="5"/>
      <c r="R16" s="36"/>
      <c r="S16" s="8"/>
      <c r="T16" s="5"/>
      <c r="U16" s="36"/>
      <c r="V16" s="4"/>
      <c r="W16" s="8"/>
      <c r="X16" s="36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7" t="s">
        <v>49</v>
      </c>
      <c r="B17" s="28"/>
      <c r="C17" s="5">
        <v>-9000</v>
      </c>
      <c r="D17" s="25"/>
      <c r="E17" s="38"/>
      <c r="F17" s="52"/>
      <c r="G17" s="53"/>
      <c r="H17" s="38"/>
      <c r="I17" s="52">
        <f>-C17</f>
        <v>9000</v>
      </c>
      <c r="J17" s="21"/>
      <c r="K17" s="38">
        <f>+I17</f>
        <v>9000</v>
      </c>
      <c r="L17" s="52"/>
      <c r="M17" s="21"/>
      <c r="N17" s="38"/>
      <c r="O17" s="52"/>
      <c r="P17" s="52"/>
      <c r="Q17" s="38"/>
      <c r="R17" s="52"/>
      <c r="S17" s="53"/>
      <c r="T17" s="38"/>
      <c r="U17" s="52"/>
      <c r="V17" s="4"/>
      <c r="W17" s="8"/>
      <c r="X17" s="36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7"/>
      <c r="B18" s="28"/>
      <c r="C18" s="5"/>
      <c r="D18" s="25"/>
      <c r="E18" s="5"/>
      <c r="F18" s="36"/>
      <c r="G18" s="8"/>
      <c r="H18" s="5"/>
      <c r="I18" s="36"/>
      <c r="J18" s="33"/>
      <c r="K18" s="5"/>
      <c r="L18" s="36"/>
      <c r="M18" s="4"/>
      <c r="N18" s="5"/>
      <c r="O18" s="26"/>
      <c r="P18" s="36"/>
      <c r="Q18" s="5"/>
      <c r="R18" s="36"/>
      <c r="S18" s="8"/>
      <c r="T18" s="5"/>
      <c r="U18" s="36"/>
      <c r="V18" s="4"/>
      <c r="W18" s="8"/>
      <c r="X18" s="36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7" t="s">
        <v>173</v>
      </c>
      <c r="B19" s="28">
        <f>B15</f>
        <v>37620</v>
      </c>
      <c r="C19" s="24">
        <f>SUM(C11:C17)</f>
        <v>141000</v>
      </c>
      <c r="D19" s="25"/>
      <c r="E19" s="8">
        <f>SUM(E11:E18)</f>
        <v>265000</v>
      </c>
      <c r="F19" s="63"/>
      <c r="G19" s="8"/>
      <c r="H19" s="8"/>
      <c r="I19" s="63">
        <f>SUM(I16:I18)</f>
        <v>24000</v>
      </c>
      <c r="J19" s="33"/>
      <c r="K19" s="8">
        <f>SUM(K16:K18)</f>
        <v>24000</v>
      </c>
      <c r="L19" s="63"/>
      <c r="M19" s="4"/>
      <c r="N19" s="5"/>
      <c r="O19" s="26"/>
      <c r="P19" s="36"/>
      <c r="Q19" s="5"/>
      <c r="R19" s="36"/>
      <c r="S19" s="8"/>
      <c r="T19" s="5"/>
      <c r="U19" s="36"/>
      <c r="V19" s="4"/>
      <c r="W19" s="8"/>
      <c r="X19" s="36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7"/>
      <c r="B20" s="28"/>
      <c r="C20" s="5"/>
      <c r="D20" s="25"/>
      <c r="E20" s="5"/>
      <c r="F20" s="36"/>
      <c r="G20" s="8"/>
      <c r="H20" s="5"/>
      <c r="I20" s="36"/>
      <c r="J20" s="33"/>
      <c r="K20" s="5"/>
      <c r="L20" s="36"/>
      <c r="M20" s="4"/>
      <c r="N20" s="5"/>
      <c r="O20" s="26"/>
      <c r="P20" s="36"/>
      <c r="Q20" s="5"/>
      <c r="R20" s="36"/>
      <c r="S20" s="8"/>
      <c r="T20" s="5"/>
      <c r="U20" s="36"/>
      <c r="V20" s="4"/>
      <c r="W20" s="8"/>
      <c r="X20" s="36"/>
      <c r="Y20" s="4"/>
      <c r="Z20" s="4"/>
      <c r="AA20" s="4"/>
      <c r="AB20" s="4"/>
      <c r="AC20" s="4"/>
      <c r="AD20" s="4"/>
      <c r="AE20" s="4"/>
      <c r="AF20" s="4"/>
    </row>
    <row r="21" spans="1:32" ht="12.75">
      <c r="A21" s="27" t="s">
        <v>188</v>
      </c>
      <c r="B21" s="28">
        <v>37620</v>
      </c>
      <c r="C21" s="5">
        <v>17250</v>
      </c>
      <c r="D21" s="25" t="s">
        <v>179</v>
      </c>
      <c r="E21" s="5"/>
      <c r="F21" s="36"/>
      <c r="G21" s="8"/>
      <c r="H21" s="5"/>
      <c r="I21" s="36"/>
      <c r="J21" s="33"/>
      <c r="K21" s="5"/>
      <c r="L21" s="36"/>
      <c r="M21" s="4"/>
      <c r="N21" s="5"/>
      <c r="O21" s="36"/>
      <c r="P21" s="4"/>
      <c r="Q21" s="5">
        <v>17250</v>
      </c>
      <c r="R21" s="8"/>
      <c r="S21" s="53"/>
      <c r="T21" s="5"/>
      <c r="U21" s="36">
        <v>17250</v>
      </c>
      <c r="V21" s="4"/>
      <c r="W21" s="8"/>
      <c r="X21" s="36"/>
      <c r="Y21" s="4"/>
      <c r="Z21" s="4"/>
      <c r="AA21" s="4"/>
      <c r="AB21" s="4"/>
      <c r="AC21" s="4"/>
      <c r="AD21" s="4"/>
      <c r="AE21" s="4"/>
      <c r="AF21" s="4"/>
    </row>
    <row r="22" spans="1:32" ht="13.5" thickBot="1">
      <c r="A22" s="27"/>
      <c r="B22" s="28"/>
      <c r="C22" s="5"/>
      <c r="D22" s="25"/>
      <c r="E22" s="54">
        <v>265000</v>
      </c>
      <c r="F22" s="55"/>
      <c r="G22" s="56"/>
      <c r="H22" s="54"/>
      <c r="I22" s="55">
        <v>124000</v>
      </c>
      <c r="J22" s="57"/>
      <c r="K22" s="54">
        <v>24000</v>
      </c>
      <c r="L22" s="55"/>
      <c r="M22" s="56"/>
      <c r="N22" s="56"/>
      <c r="O22" s="66"/>
      <c r="P22" s="56"/>
      <c r="Q22" s="56">
        <v>17250</v>
      </c>
      <c r="R22" s="92"/>
      <c r="S22" s="60"/>
      <c r="T22" s="56"/>
      <c r="U22" s="66">
        <v>17250</v>
      </c>
      <c r="V22" s="4"/>
      <c r="W22" s="8"/>
      <c r="X22" s="36"/>
      <c r="Y22" s="4"/>
      <c r="Z22" s="4"/>
      <c r="AA22" s="4"/>
      <c r="AB22" s="4"/>
      <c r="AC22" s="4"/>
      <c r="AD22" s="4"/>
      <c r="AE22" s="4"/>
      <c r="AF22" s="4"/>
    </row>
    <row r="23" spans="1:32" ht="13.5" thickTop="1">
      <c r="A23" s="27"/>
      <c r="B23" s="28"/>
      <c r="C23" s="5"/>
      <c r="D23" s="25"/>
      <c r="E23" s="5"/>
      <c r="F23" s="36"/>
      <c r="G23" s="8"/>
      <c r="H23" s="5"/>
      <c r="I23" s="36"/>
      <c r="J23" s="33"/>
      <c r="K23" s="5"/>
      <c r="L23" s="36"/>
      <c r="M23" s="4"/>
      <c r="N23" s="5"/>
      <c r="O23" s="26"/>
      <c r="P23" s="36"/>
      <c r="Q23" s="5"/>
      <c r="R23" s="36"/>
      <c r="S23" s="8"/>
      <c r="T23" s="5"/>
      <c r="U23" s="36"/>
      <c r="V23" s="4"/>
      <c r="W23" s="8"/>
      <c r="X23" s="36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27"/>
      <c r="B24" s="28"/>
      <c r="C24" s="5"/>
      <c r="D24" s="25"/>
      <c r="E24" s="5"/>
      <c r="F24" s="26"/>
      <c r="G24" s="25"/>
      <c r="H24" s="5"/>
      <c r="I24" s="26"/>
      <c r="J24" s="4"/>
      <c r="K24" s="5"/>
      <c r="L24" s="26"/>
      <c r="M24" s="4"/>
      <c r="N24" s="5"/>
      <c r="O24" s="26"/>
      <c r="P24" s="36"/>
      <c r="Q24" s="5"/>
      <c r="R24" s="36"/>
      <c r="S24" s="8"/>
      <c r="T24" s="8"/>
      <c r="U24" s="63"/>
      <c r="V24" s="4"/>
      <c r="W24" s="8"/>
      <c r="X24" s="36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27" t="s">
        <v>174</v>
      </c>
      <c r="B25" s="28">
        <v>37621</v>
      </c>
      <c r="C25" s="5"/>
      <c r="D25" s="25"/>
      <c r="E25" s="5">
        <f>+E22</f>
        <v>265000</v>
      </c>
      <c r="F25" s="26"/>
      <c r="G25" s="25"/>
      <c r="H25" s="5"/>
      <c r="I25" s="26">
        <f>+I22</f>
        <v>124000</v>
      </c>
      <c r="J25" s="4"/>
      <c r="K25" s="5"/>
      <c r="L25" s="26"/>
      <c r="M25" s="4"/>
      <c r="N25" s="5"/>
      <c r="O25" s="26"/>
      <c r="P25" s="36"/>
      <c r="Q25" s="8"/>
      <c r="R25" s="63"/>
      <c r="S25" s="8"/>
      <c r="T25" s="8"/>
      <c r="U25" s="63"/>
      <c r="V25" s="4"/>
      <c r="W25" s="8"/>
      <c r="X25" s="36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27" t="s">
        <v>21</v>
      </c>
      <c r="B26" s="28">
        <v>37725</v>
      </c>
      <c r="C26" s="5">
        <v>80000</v>
      </c>
      <c r="D26" s="25"/>
      <c r="E26" s="5">
        <f>+C26</f>
        <v>80000</v>
      </c>
      <c r="F26" s="26"/>
      <c r="G26" s="25"/>
      <c r="H26" s="5"/>
      <c r="I26" s="26"/>
      <c r="J26" s="4"/>
      <c r="K26" s="5"/>
      <c r="L26" s="26"/>
      <c r="M26" s="4"/>
      <c r="N26" s="5"/>
      <c r="O26" s="26"/>
      <c r="P26" s="36"/>
      <c r="Q26" s="8"/>
      <c r="R26" s="63"/>
      <c r="S26" s="8"/>
      <c r="T26" s="8"/>
      <c r="U26" s="63"/>
      <c r="V26" s="4"/>
      <c r="W26" s="8"/>
      <c r="X26" s="36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27" t="s">
        <v>22</v>
      </c>
      <c r="B27" s="28">
        <v>37801</v>
      </c>
      <c r="C27" s="5"/>
      <c r="D27" s="25"/>
      <c r="E27" s="5"/>
      <c r="F27" s="26"/>
      <c r="G27" s="25"/>
      <c r="H27" s="5"/>
      <c r="I27" s="26"/>
      <c r="J27" s="4"/>
      <c r="K27" s="5"/>
      <c r="L27" s="26"/>
      <c r="M27" s="4"/>
      <c r="N27" s="5"/>
      <c r="O27" s="26"/>
      <c r="P27" s="36"/>
      <c r="Q27" s="8"/>
      <c r="R27" s="63"/>
      <c r="S27" s="8"/>
      <c r="T27" s="8"/>
      <c r="U27" s="63"/>
      <c r="V27" s="4"/>
      <c r="W27" s="8"/>
      <c r="X27" s="36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27" t="s">
        <v>23</v>
      </c>
      <c r="B28" s="28"/>
      <c r="C28" s="5">
        <v>150000</v>
      </c>
      <c r="D28" s="25"/>
      <c r="E28" s="5">
        <f>C28</f>
        <v>150000</v>
      </c>
      <c r="F28" s="26"/>
      <c r="G28" s="25"/>
      <c r="H28" s="5"/>
      <c r="I28" s="26"/>
      <c r="J28" s="4"/>
      <c r="K28" s="5"/>
      <c r="L28" s="26"/>
      <c r="M28" s="4"/>
      <c r="N28" s="5"/>
      <c r="O28" s="26"/>
      <c r="P28" s="36"/>
      <c r="Q28" s="8"/>
      <c r="R28" s="63"/>
      <c r="S28" s="8"/>
      <c r="T28" s="8"/>
      <c r="U28" s="63"/>
      <c r="V28" s="4"/>
      <c r="W28" s="8"/>
      <c r="X28" s="36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27" t="s">
        <v>24</v>
      </c>
      <c r="B29" s="28"/>
      <c r="C29" s="5">
        <v>60000</v>
      </c>
      <c r="D29" s="25"/>
      <c r="E29" s="5"/>
      <c r="F29" s="26"/>
      <c r="G29" s="25"/>
      <c r="H29" s="5"/>
      <c r="I29" s="26"/>
      <c r="J29" s="4"/>
      <c r="K29" s="5"/>
      <c r="L29" s="26"/>
      <c r="M29" s="4"/>
      <c r="N29" s="5"/>
      <c r="O29" s="26">
        <v>60000</v>
      </c>
      <c r="P29" s="36"/>
      <c r="Q29" s="8"/>
      <c r="R29" s="63"/>
      <c r="S29" s="8"/>
      <c r="T29" s="8"/>
      <c r="U29" s="63"/>
      <c r="V29" s="4"/>
      <c r="W29" s="8"/>
      <c r="X29" s="36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27" t="s">
        <v>53</v>
      </c>
      <c r="B30" s="28"/>
      <c r="C30" s="5">
        <v>-9000</v>
      </c>
      <c r="D30" s="25"/>
      <c r="E30" s="5"/>
      <c r="F30" s="26"/>
      <c r="G30" s="25"/>
      <c r="H30" s="5"/>
      <c r="I30" s="26">
        <f>-C30</f>
        <v>9000</v>
      </c>
      <c r="J30" s="4"/>
      <c r="K30" s="5">
        <f>+I30</f>
        <v>9000</v>
      </c>
      <c r="L30" s="26"/>
      <c r="M30" s="4"/>
      <c r="N30" s="5"/>
      <c r="O30" s="26"/>
      <c r="P30" s="36"/>
      <c r="Q30" s="8"/>
      <c r="R30" s="63"/>
      <c r="S30" s="8"/>
      <c r="T30" s="8"/>
      <c r="U30" s="63"/>
      <c r="V30" s="4"/>
      <c r="W30" s="8"/>
      <c r="X30" s="36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27"/>
      <c r="B31" s="28"/>
      <c r="C31" s="5"/>
      <c r="D31" s="25"/>
      <c r="E31" s="5"/>
      <c r="F31" s="26"/>
      <c r="G31" s="25"/>
      <c r="H31" s="5"/>
      <c r="I31" s="26"/>
      <c r="J31" s="4"/>
      <c r="K31" s="5"/>
      <c r="L31" s="26"/>
      <c r="M31" s="4"/>
      <c r="N31" s="5"/>
      <c r="O31" s="26"/>
      <c r="P31" s="36"/>
      <c r="Q31" s="8"/>
      <c r="R31" s="63"/>
      <c r="S31" s="8"/>
      <c r="T31" s="8"/>
      <c r="U31" s="63"/>
      <c r="V31" s="4"/>
      <c r="W31" s="8"/>
      <c r="X31" s="36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27" t="s">
        <v>54</v>
      </c>
      <c r="B32" s="28"/>
      <c r="C32" s="5">
        <f>+C13+C17+C30</f>
        <v>72000</v>
      </c>
      <c r="D32" s="25"/>
      <c r="E32" s="5"/>
      <c r="F32" s="26">
        <v>90000</v>
      </c>
      <c r="G32" s="25"/>
      <c r="H32" s="5">
        <v>18000</v>
      </c>
      <c r="I32" s="26"/>
      <c r="J32" s="4"/>
      <c r="K32" s="5"/>
      <c r="L32" s="26"/>
      <c r="M32" s="4"/>
      <c r="N32" s="5">
        <v>72000</v>
      </c>
      <c r="O32" s="26"/>
      <c r="P32" s="36"/>
      <c r="Q32" s="8"/>
      <c r="R32" s="63"/>
      <c r="S32" s="8"/>
      <c r="T32" s="8"/>
      <c r="U32" s="63"/>
      <c r="V32" s="4"/>
      <c r="W32" s="8"/>
      <c r="X32" s="36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27" t="s">
        <v>55</v>
      </c>
      <c r="B33" s="28"/>
      <c r="C33" s="5">
        <f>+C29</f>
        <v>60000</v>
      </c>
      <c r="D33" s="25"/>
      <c r="E33" s="5"/>
      <c r="F33" s="26"/>
      <c r="G33" s="25"/>
      <c r="H33" s="5"/>
      <c r="I33" s="26"/>
      <c r="J33" s="4"/>
      <c r="K33" s="5"/>
      <c r="L33" s="26"/>
      <c r="M33" s="4"/>
      <c r="N33" s="5"/>
      <c r="O33" s="26"/>
      <c r="P33" s="36"/>
      <c r="Q33" s="8"/>
      <c r="R33" s="63"/>
      <c r="S33" s="8"/>
      <c r="T33" s="8"/>
      <c r="U33" s="63"/>
      <c r="V33" s="4"/>
      <c r="W33" s="8"/>
      <c r="X33" s="36"/>
      <c r="Y33" s="4"/>
      <c r="Z33" s="4"/>
      <c r="AA33" s="4"/>
      <c r="AB33" s="4"/>
      <c r="AC33" s="4"/>
      <c r="AD33" s="4"/>
      <c r="AE33" s="4"/>
      <c r="AF33" s="4"/>
    </row>
    <row r="34" spans="1:32" ht="12.75">
      <c r="A34" s="27" t="s">
        <v>56</v>
      </c>
      <c r="B34" s="28"/>
      <c r="C34" s="5">
        <f>-C32+C33</f>
        <v>-12000</v>
      </c>
      <c r="D34" s="25"/>
      <c r="E34" s="5"/>
      <c r="F34" s="26"/>
      <c r="G34" s="25"/>
      <c r="H34" s="5"/>
      <c r="I34" s="26"/>
      <c r="J34" s="4"/>
      <c r="K34" s="5"/>
      <c r="L34" s="26"/>
      <c r="M34" s="4"/>
      <c r="N34" s="5"/>
      <c r="O34" s="26"/>
      <c r="P34" s="36"/>
      <c r="Q34" s="8"/>
      <c r="R34" s="63"/>
      <c r="S34" s="8"/>
      <c r="T34" s="8"/>
      <c r="U34" s="63"/>
      <c r="V34" s="4"/>
      <c r="W34" s="8"/>
      <c r="X34" s="36"/>
      <c r="Y34" s="4"/>
      <c r="Z34" s="4"/>
      <c r="AA34" s="4"/>
      <c r="AB34" s="4"/>
      <c r="AC34" s="4"/>
      <c r="AD34" s="4"/>
      <c r="AE34" s="4"/>
      <c r="AF34" s="4"/>
    </row>
    <row r="35" spans="1:32" ht="12.75">
      <c r="A35" s="27"/>
      <c r="B35" s="28"/>
      <c r="C35" s="5"/>
      <c r="D35" s="25"/>
      <c r="E35" s="5"/>
      <c r="F35" s="26"/>
      <c r="G35" s="25"/>
      <c r="H35" s="5"/>
      <c r="I35" s="26"/>
      <c r="J35" s="4"/>
      <c r="K35" s="5"/>
      <c r="L35" s="26"/>
      <c r="M35" s="4"/>
      <c r="N35" s="5"/>
      <c r="O35" s="26"/>
      <c r="P35" s="36"/>
      <c r="Q35" s="8"/>
      <c r="R35" s="6"/>
      <c r="S35" s="8"/>
      <c r="T35" s="8"/>
      <c r="U35" s="63"/>
      <c r="V35" s="4"/>
      <c r="W35" s="8"/>
      <c r="X35" s="36"/>
      <c r="Y35" s="4"/>
      <c r="Z35" s="4"/>
      <c r="AA35" s="4"/>
      <c r="AB35" s="4"/>
      <c r="AC35" s="4"/>
      <c r="AD35" s="4"/>
      <c r="AE35" s="4"/>
      <c r="AF35" s="4"/>
    </row>
    <row r="36" spans="1:32" ht="12.75">
      <c r="A36" s="27" t="s">
        <v>19</v>
      </c>
      <c r="B36" s="28">
        <v>37985</v>
      </c>
      <c r="C36" s="5"/>
      <c r="D36" s="25"/>
      <c r="E36" s="5"/>
      <c r="F36" s="26"/>
      <c r="G36" s="25"/>
      <c r="H36" s="5"/>
      <c r="I36" s="26"/>
      <c r="J36" s="4"/>
      <c r="K36" s="5"/>
      <c r="L36" s="26"/>
      <c r="M36" s="4"/>
      <c r="N36" s="5"/>
      <c r="O36" s="26"/>
      <c r="P36" s="36"/>
      <c r="Q36" s="8"/>
      <c r="R36" s="6"/>
      <c r="S36" s="8"/>
      <c r="T36" s="8"/>
      <c r="U36" s="63"/>
      <c r="V36" s="4"/>
      <c r="W36" s="8"/>
      <c r="X36" s="36"/>
      <c r="Y36" s="4"/>
      <c r="Z36" s="4"/>
      <c r="AA36" s="4"/>
      <c r="AB36" s="4"/>
      <c r="AC36" s="4"/>
      <c r="AD36" s="4"/>
      <c r="AE36" s="4"/>
      <c r="AF36" s="4"/>
    </row>
    <row r="37" spans="1:32" ht="12.75">
      <c r="A37" s="27" t="str">
        <f>'liite 3a'!A25</f>
        <v> - ennen tilkautta 2007 hankituista</v>
      </c>
      <c r="B37" s="28"/>
      <c r="C37" s="5">
        <v>-15000</v>
      </c>
      <c r="D37" s="25"/>
      <c r="E37" s="5"/>
      <c r="F37" s="26"/>
      <c r="G37" s="25"/>
      <c r="H37" s="5"/>
      <c r="I37" s="26">
        <f>-C37</f>
        <v>15000</v>
      </c>
      <c r="J37" s="4"/>
      <c r="K37" s="5">
        <f>+I37</f>
        <v>15000</v>
      </c>
      <c r="L37" s="26"/>
      <c r="M37" s="4"/>
      <c r="N37" s="5"/>
      <c r="O37" s="26"/>
      <c r="P37" s="36"/>
      <c r="Q37" s="8"/>
      <c r="R37" s="6"/>
      <c r="S37" s="8"/>
      <c r="T37" s="8"/>
      <c r="U37" s="88"/>
      <c r="V37" s="4"/>
      <c r="W37" s="8"/>
      <c r="X37" s="36"/>
      <c r="Y37" s="4"/>
      <c r="Z37" s="4"/>
      <c r="AA37" s="4"/>
      <c r="AB37" s="4"/>
      <c r="AC37" s="4"/>
      <c r="AD37" s="4"/>
      <c r="AE37" s="4"/>
      <c r="AF37" s="4"/>
    </row>
    <row r="38" spans="1:32" ht="12.75">
      <c r="A38" s="27" t="s">
        <v>59</v>
      </c>
      <c r="B38" s="28"/>
      <c r="C38" s="5">
        <v>-8000</v>
      </c>
      <c r="D38" s="25" t="s">
        <v>200</v>
      </c>
      <c r="E38" s="5"/>
      <c r="F38" s="26"/>
      <c r="G38" s="25"/>
      <c r="H38" s="5"/>
      <c r="I38" s="26">
        <f>-C38</f>
        <v>8000</v>
      </c>
      <c r="J38" s="4"/>
      <c r="K38" s="5">
        <f>+I38</f>
        <v>8000</v>
      </c>
      <c r="L38" s="26"/>
      <c r="M38" s="4"/>
      <c r="N38" s="5"/>
      <c r="O38" s="26"/>
      <c r="P38" s="36"/>
      <c r="Q38" s="8"/>
      <c r="R38" s="6"/>
      <c r="S38" s="8"/>
      <c r="T38" s="8"/>
      <c r="U38" s="63"/>
      <c r="V38" s="4"/>
      <c r="W38" s="8"/>
      <c r="X38" s="36"/>
      <c r="Y38" s="4"/>
      <c r="Z38" s="4"/>
      <c r="AA38" s="4"/>
      <c r="AB38" s="4"/>
      <c r="AC38" s="4"/>
      <c r="AD38" s="4"/>
      <c r="AE38" s="4"/>
      <c r="AF38" s="4"/>
    </row>
    <row r="39" spans="1:32" ht="12.75">
      <c r="A39" s="27" t="s">
        <v>58</v>
      </c>
      <c r="B39" s="28"/>
      <c r="C39" s="5">
        <v>-15000</v>
      </c>
      <c r="D39" s="25"/>
      <c r="E39" s="5"/>
      <c r="F39" s="26"/>
      <c r="G39" s="25"/>
      <c r="H39" s="5"/>
      <c r="I39" s="26">
        <f>-C39</f>
        <v>15000</v>
      </c>
      <c r="J39" s="4"/>
      <c r="K39" s="5">
        <f>+I39</f>
        <v>15000</v>
      </c>
      <c r="L39" s="26"/>
      <c r="M39" s="4"/>
      <c r="N39" s="5"/>
      <c r="O39" s="26"/>
      <c r="P39" s="36"/>
      <c r="Q39" s="8"/>
      <c r="R39" s="6"/>
      <c r="S39" s="8"/>
      <c r="T39" s="8"/>
      <c r="U39" s="63"/>
      <c r="V39" s="4"/>
      <c r="W39" s="8"/>
      <c r="X39" s="36"/>
      <c r="Y39" s="4"/>
      <c r="Z39" s="4"/>
      <c r="AA39" s="4"/>
      <c r="AB39" s="4"/>
      <c r="AC39" s="4"/>
      <c r="AD39" s="4"/>
      <c r="AE39" s="4"/>
      <c r="AF39" s="4"/>
    </row>
    <row r="40" spans="1:32" ht="12.75">
      <c r="A40" s="27" t="s">
        <v>254</v>
      </c>
      <c r="B40" s="28"/>
      <c r="C40" s="37">
        <v>-12000</v>
      </c>
      <c r="D40" s="25"/>
      <c r="E40" s="5"/>
      <c r="F40" s="26"/>
      <c r="G40" s="25"/>
      <c r="H40" s="5"/>
      <c r="I40" s="26"/>
      <c r="J40" s="4"/>
      <c r="K40" s="5"/>
      <c r="L40" s="26"/>
      <c r="M40" s="4"/>
      <c r="N40" s="5"/>
      <c r="O40" s="26"/>
      <c r="P40" s="36"/>
      <c r="Q40" s="8"/>
      <c r="R40" s="6"/>
      <c r="S40" s="8"/>
      <c r="T40" s="8"/>
      <c r="U40" s="63"/>
      <c r="V40" s="4"/>
      <c r="W40" s="8"/>
      <c r="X40" s="36"/>
      <c r="Y40" s="4"/>
      <c r="Z40" s="4"/>
      <c r="AA40" s="4"/>
      <c r="AB40" s="4"/>
      <c r="AC40" s="4"/>
      <c r="AD40" s="4"/>
      <c r="AE40" s="4"/>
      <c r="AF40" s="4"/>
    </row>
    <row r="41" spans="1:32" ht="12.75">
      <c r="A41" s="27"/>
      <c r="B41" s="28"/>
      <c r="C41" s="37"/>
      <c r="D41" s="25"/>
      <c r="E41" s="38"/>
      <c r="F41" s="52"/>
      <c r="G41" s="53"/>
      <c r="H41" s="38"/>
      <c r="I41" s="52"/>
      <c r="J41" s="21"/>
      <c r="K41" s="38"/>
      <c r="L41" s="52"/>
      <c r="M41" s="21"/>
      <c r="N41" s="38"/>
      <c r="O41" s="52"/>
      <c r="P41" s="52"/>
      <c r="Q41" s="53"/>
      <c r="R41" s="91"/>
      <c r="S41" s="53"/>
      <c r="T41" s="38"/>
      <c r="U41" s="52"/>
      <c r="V41" s="4"/>
      <c r="W41" s="8"/>
      <c r="X41" s="36"/>
      <c r="Y41" s="4"/>
      <c r="Z41" s="4"/>
      <c r="AA41" s="4"/>
      <c r="AB41" s="4"/>
      <c r="AC41" s="4"/>
      <c r="AD41" s="4"/>
      <c r="AE41" s="4"/>
      <c r="AF41" s="4"/>
    </row>
    <row r="42" spans="1:32" ht="12.75">
      <c r="A42" s="27" t="s">
        <v>188</v>
      </c>
      <c r="B42" s="28">
        <v>37985</v>
      </c>
      <c r="C42" s="5">
        <f>C63</f>
        <v>4562.5</v>
      </c>
      <c r="D42" s="25" t="s">
        <v>60</v>
      </c>
      <c r="E42" s="5"/>
      <c r="F42" s="36"/>
      <c r="G42" s="8"/>
      <c r="H42" s="5"/>
      <c r="I42" s="36"/>
      <c r="J42" s="33"/>
      <c r="K42" s="5"/>
      <c r="L42" s="36"/>
      <c r="M42" s="4"/>
      <c r="N42" s="5"/>
      <c r="O42" s="36"/>
      <c r="P42" s="4"/>
      <c r="Q42" s="5">
        <f>C63</f>
        <v>4562.5</v>
      </c>
      <c r="R42" s="36"/>
      <c r="S42" s="4"/>
      <c r="T42" s="5"/>
      <c r="U42" s="36">
        <f>C63</f>
        <v>4562.5</v>
      </c>
      <c r="V42" s="4"/>
      <c r="W42" s="8"/>
      <c r="X42" s="36"/>
      <c r="Y42" s="4"/>
      <c r="Z42" s="4"/>
      <c r="AA42" s="4"/>
      <c r="AB42" s="4"/>
      <c r="AC42" s="4"/>
      <c r="AD42" s="4"/>
      <c r="AE42" s="4"/>
      <c r="AF42" s="4"/>
    </row>
    <row r="43" spans="1:32" ht="13.5" thickBot="1">
      <c r="A43" s="29" t="s">
        <v>173</v>
      </c>
      <c r="B43" s="30">
        <v>37985</v>
      </c>
      <c r="C43" s="38">
        <f>+C19+C26+C28+C30-C32+C37+C38+C39</f>
        <v>252000</v>
      </c>
      <c r="D43" s="25"/>
      <c r="E43" s="54">
        <v>405000</v>
      </c>
      <c r="F43" s="55"/>
      <c r="G43" s="56"/>
      <c r="H43" s="54"/>
      <c r="I43" s="55">
        <v>153000</v>
      </c>
      <c r="J43" s="57"/>
      <c r="K43" s="54">
        <v>47000</v>
      </c>
      <c r="L43" s="55"/>
      <c r="M43" s="56"/>
      <c r="N43" s="56">
        <v>12000</v>
      </c>
      <c r="O43" s="66"/>
      <c r="P43" s="56"/>
      <c r="Q43" s="90">
        <f>Q42</f>
        <v>4562.5</v>
      </c>
      <c r="R43" s="66"/>
      <c r="S43" s="56"/>
      <c r="T43" s="55"/>
      <c r="U43" s="66">
        <f>U22+U42</f>
        <v>21812.5</v>
      </c>
      <c r="V43" s="4"/>
      <c r="W43" s="8"/>
      <c r="X43" s="36"/>
      <c r="Y43" s="4"/>
      <c r="Z43" s="4"/>
      <c r="AA43" s="4"/>
      <c r="AB43" s="4"/>
      <c r="AC43" s="4"/>
      <c r="AD43" s="4"/>
      <c r="AE43" s="4"/>
      <c r="AF43" s="4"/>
    </row>
    <row r="44" spans="1:32" ht="13.5" thickTop="1">
      <c r="A44" s="4"/>
      <c r="B44" s="9"/>
      <c r="C44" s="4"/>
      <c r="D44" s="4"/>
      <c r="E44" s="8"/>
      <c r="F44" s="36"/>
      <c r="G44" s="8"/>
      <c r="H44" s="8"/>
      <c r="I44" s="36"/>
      <c r="J44" s="36"/>
      <c r="K44" s="8"/>
      <c r="L44" s="36"/>
      <c r="M44" s="33"/>
      <c r="N44" s="33"/>
      <c r="O44" s="33"/>
      <c r="P44" s="33"/>
      <c r="Q44" s="8"/>
      <c r="R44" s="8"/>
      <c r="S44" s="8"/>
      <c r="T44" s="8"/>
      <c r="U44" s="36"/>
      <c r="V44" s="33"/>
      <c r="W44" s="33"/>
      <c r="X44" s="33"/>
      <c r="Y44" s="4"/>
      <c r="Z44" s="4"/>
      <c r="AA44" s="4"/>
      <c r="AB44" s="4"/>
      <c r="AC44" s="4"/>
      <c r="AD44" s="4"/>
      <c r="AE44" s="4"/>
      <c r="AF44" s="4"/>
    </row>
    <row r="45" spans="1:32" ht="12.75">
      <c r="A45" s="4"/>
      <c r="C45" s="4"/>
      <c r="D45" s="4"/>
      <c r="E45" s="33"/>
      <c r="F45" s="33"/>
      <c r="G45" s="8"/>
      <c r="H45" s="8"/>
      <c r="I45" s="8"/>
      <c r="J45" s="36"/>
      <c r="K45" s="33"/>
      <c r="L45" s="33"/>
      <c r="M45" s="33"/>
      <c r="N45" s="33"/>
      <c r="O45" s="33"/>
      <c r="P45" s="33"/>
      <c r="Q45" s="8"/>
      <c r="R45" s="8"/>
      <c r="S45" s="8"/>
      <c r="T45" s="8"/>
      <c r="U45" s="36"/>
      <c r="V45" s="33"/>
      <c r="W45" s="33"/>
      <c r="X45" s="33"/>
      <c r="Y45" s="4"/>
      <c r="Z45" s="4"/>
      <c r="AA45" s="4"/>
      <c r="AB45" s="4"/>
      <c r="AC45" s="4"/>
      <c r="AD45" s="4"/>
      <c r="AE45" s="4"/>
      <c r="AF45" s="4"/>
    </row>
    <row r="46" spans="1:32" ht="12.75">
      <c r="A46" s="4" t="s">
        <v>325</v>
      </c>
      <c r="B46" s="4"/>
      <c r="C46" s="4"/>
      <c r="D46" s="4"/>
      <c r="E46" s="33"/>
      <c r="F46" s="33"/>
      <c r="G46" s="8"/>
      <c r="H46" s="8"/>
      <c r="I46" s="8"/>
      <c r="J46" s="36"/>
      <c r="K46" s="33"/>
      <c r="L46" s="33"/>
      <c r="M46" s="33"/>
      <c r="N46" s="33"/>
      <c r="O46" s="33"/>
      <c r="P46" s="33"/>
      <c r="Q46" s="8"/>
      <c r="R46" s="8"/>
      <c r="S46" s="8"/>
      <c r="T46" s="8"/>
      <c r="U46" s="36"/>
      <c r="V46" s="33"/>
      <c r="W46" s="33"/>
      <c r="X46" s="33"/>
      <c r="Y46" s="4"/>
      <c r="Z46" s="4"/>
      <c r="AA46" s="4"/>
      <c r="AB46" s="4"/>
      <c r="AC46" s="4"/>
      <c r="AD46" s="4"/>
      <c r="AE46" s="4"/>
      <c r="AF46" s="4"/>
    </row>
    <row r="47" spans="1:32" ht="12.75">
      <c r="A47" s="4"/>
      <c r="B47" s="4"/>
      <c r="C47" s="4"/>
      <c r="D47" s="4"/>
      <c r="E47" s="33"/>
      <c r="F47" s="33"/>
      <c r="G47" s="8"/>
      <c r="H47" s="8"/>
      <c r="I47" s="8"/>
      <c r="J47" s="36"/>
      <c r="K47" s="33"/>
      <c r="L47" s="33"/>
      <c r="M47" s="33"/>
      <c r="N47" s="33"/>
      <c r="O47" s="33"/>
      <c r="P47" s="33"/>
      <c r="Q47" s="8"/>
      <c r="R47" s="36"/>
      <c r="S47" s="8"/>
      <c r="T47" s="8"/>
      <c r="U47" s="36"/>
      <c r="V47" s="33"/>
      <c r="W47" s="33"/>
      <c r="X47" s="33"/>
      <c r="Y47" s="4"/>
      <c r="Z47" s="4"/>
      <c r="AA47" s="4"/>
      <c r="AB47" s="4"/>
      <c r="AC47" s="4"/>
      <c r="AD47" s="4"/>
      <c r="AE47" s="4"/>
      <c r="AF47" s="4"/>
    </row>
    <row r="48" spans="1:32" ht="12.75">
      <c r="A48" s="4" t="s">
        <v>179</v>
      </c>
      <c r="B48" s="4"/>
      <c r="C48" s="4"/>
      <c r="D48" s="4"/>
      <c r="E48" s="33"/>
      <c r="F48" s="33"/>
      <c r="G48" s="8"/>
      <c r="H48" s="8"/>
      <c r="I48" s="8"/>
      <c r="J48" s="36"/>
      <c r="K48" s="33"/>
      <c r="L48" s="33"/>
      <c r="M48" s="33"/>
      <c r="N48" s="33"/>
      <c r="O48" s="33"/>
      <c r="P48" s="33"/>
      <c r="Q48" s="8"/>
      <c r="R48" s="36"/>
      <c r="S48" s="8"/>
      <c r="T48" s="8"/>
      <c r="U48" s="36"/>
      <c r="V48" s="33"/>
      <c r="W48" s="33"/>
      <c r="X48" s="33"/>
      <c r="Y48" s="4"/>
      <c r="Z48" s="4"/>
      <c r="AA48" s="4"/>
      <c r="AB48" s="4"/>
      <c r="AC48" s="4"/>
      <c r="AD48" s="4"/>
      <c r="AE48" s="4"/>
      <c r="AF48" s="4"/>
    </row>
    <row r="49" spans="1:32" ht="12.75">
      <c r="A49" s="4" t="s">
        <v>180</v>
      </c>
      <c r="B49" s="4"/>
      <c r="C49" s="25">
        <v>165000</v>
      </c>
      <c r="D49" s="4"/>
      <c r="E49" s="33"/>
      <c r="F49" s="33"/>
      <c r="G49" s="8"/>
      <c r="H49" s="8"/>
      <c r="I49" s="8"/>
      <c r="J49" s="36"/>
      <c r="K49" s="33"/>
      <c r="L49" s="33"/>
      <c r="M49" s="33"/>
      <c r="N49" s="33"/>
      <c r="O49" s="33"/>
      <c r="P49" s="33"/>
      <c r="Q49" s="8"/>
      <c r="R49" s="8"/>
      <c r="S49" s="8"/>
      <c r="T49" s="8"/>
      <c r="U49" s="36"/>
      <c r="V49" s="33"/>
      <c r="W49" s="33"/>
      <c r="X49" s="33"/>
      <c r="Y49" s="4"/>
      <c r="Z49" s="4"/>
      <c r="AA49" s="4"/>
      <c r="AB49" s="4"/>
      <c r="AC49" s="4"/>
      <c r="AD49" s="4"/>
      <c r="AE49" s="4"/>
      <c r="AF49" s="4"/>
    </row>
    <row r="50" spans="1:32" ht="12.75">
      <c r="A50" s="4"/>
      <c r="C50" s="25"/>
      <c r="D50" s="4"/>
      <c r="E50" s="8"/>
      <c r="F50" s="8"/>
      <c r="G50" s="8"/>
      <c r="H50" s="8"/>
      <c r="I50" s="8"/>
      <c r="J50" s="36"/>
      <c r="K50" s="33"/>
      <c r="L50" s="33"/>
      <c r="M50" s="33"/>
      <c r="N50" s="8"/>
      <c r="O50" s="33"/>
      <c r="P50" s="33"/>
      <c r="Q50" s="8"/>
      <c r="R50" s="8"/>
      <c r="S50" s="8"/>
      <c r="T50" s="8"/>
      <c r="U50" s="36"/>
      <c r="V50" s="33"/>
      <c r="W50" s="33"/>
      <c r="X50" s="8"/>
      <c r="Y50" s="4"/>
      <c r="Z50" s="4"/>
      <c r="AA50" s="4"/>
      <c r="AB50" s="4"/>
      <c r="AC50" s="4"/>
      <c r="AD50" s="4"/>
      <c r="AE50" s="4"/>
      <c r="AF50" s="4"/>
    </row>
    <row r="51" spans="1:32" ht="12.75">
      <c r="A51" s="4" t="s">
        <v>191</v>
      </c>
      <c r="B51" s="4"/>
      <c r="C51" s="25">
        <f>0.25*C49</f>
        <v>41250</v>
      </c>
      <c r="D51" s="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8"/>
      <c r="R51" s="8"/>
      <c r="S51" s="8"/>
      <c r="T51" s="8"/>
      <c r="U51" s="36"/>
      <c r="V51" s="33"/>
      <c r="W51" s="33"/>
      <c r="X51" s="33"/>
      <c r="Y51" s="4"/>
      <c r="Z51" s="4"/>
      <c r="AA51" s="4"/>
      <c r="AB51" s="4"/>
      <c r="AC51" s="4"/>
      <c r="AD51" s="4"/>
      <c r="AE51" s="4"/>
      <c r="AF51" s="4"/>
    </row>
    <row r="52" spans="1:32" ht="12.75">
      <c r="A52" s="4" t="s">
        <v>19</v>
      </c>
      <c r="B52" s="4"/>
      <c r="C52" s="25">
        <v>-24000</v>
      </c>
      <c r="D52" s="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8"/>
      <c r="R52" s="8"/>
      <c r="S52" s="8"/>
      <c r="T52" s="8"/>
      <c r="U52" s="36"/>
      <c r="V52" s="33"/>
      <c r="W52" s="33"/>
      <c r="X52" s="33"/>
      <c r="Y52" s="4"/>
      <c r="Z52" s="4"/>
      <c r="AA52" s="4"/>
      <c r="AB52" s="4"/>
      <c r="AC52" s="4"/>
      <c r="AD52" s="4"/>
      <c r="AE52" s="4"/>
      <c r="AF52" s="4"/>
    </row>
    <row r="53" spans="1:32" ht="12.75">
      <c r="A53" s="4" t="s">
        <v>188</v>
      </c>
      <c r="B53" s="28">
        <v>37620</v>
      </c>
      <c r="C53" s="25">
        <v>17250</v>
      </c>
      <c r="D53" s="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8"/>
      <c r="R53" s="8"/>
      <c r="S53" s="8"/>
      <c r="T53" s="8"/>
      <c r="U53" s="36"/>
      <c r="V53" s="33"/>
      <c r="W53" s="33"/>
      <c r="X53" s="33"/>
      <c r="Y53" s="4"/>
      <c r="Z53" s="4"/>
      <c r="AA53" s="4"/>
      <c r="AB53" s="4"/>
      <c r="AC53" s="4"/>
      <c r="AD53" s="4"/>
      <c r="AE53" s="4"/>
      <c r="AF53" s="4"/>
    </row>
    <row r="54" spans="1:32" ht="12.75">
      <c r="A54" s="4"/>
      <c r="B54" s="4"/>
      <c r="C54" s="25"/>
      <c r="D54" s="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8"/>
      <c r="R54" s="8"/>
      <c r="S54" s="8"/>
      <c r="T54" s="8"/>
      <c r="U54" s="36"/>
      <c r="V54" s="33"/>
      <c r="W54" s="33"/>
      <c r="X54" s="33"/>
      <c r="Y54" s="4"/>
      <c r="Z54" s="4"/>
      <c r="AA54" s="4"/>
      <c r="AB54" s="4"/>
      <c r="AC54" s="4"/>
      <c r="AD54" s="4"/>
      <c r="AE54" s="4"/>
      <c r="AF54" s="4"/>
    </row>
    <row r="55" spans="1:21" ht="12.75">
      <c r="A55" s="4" t="s">
        <v>60</v>
      </c>
      <c r="C55" s="51"/>
      <c r="Q55" s="8"/>
      <c r="R55" s="8"/>
      <c r="S55" s="8"/>
      <c r="T55" s="8"/>
      <c r="U55" s="36"/>
    </row>
    <row r="56" spans="1:21" ht="12.75">
      <c r="A56" s="4" t="s">
        <v>180</v>
      </c>
      <c r="C56" s="25">
        <f>C49-C51+C28</f>
        <v>273750</v>
      </c>
      <c r="Q56" s="8"/>
      <c r="R56" s="8"/>
      <c r="S56" s="8"/>
      <c r="T56" s="8"/>
      <c r="U56" s="8"/>
    </row>
    <row r="57" spans="1:21" ht="12.75">
      <c r="A57" s="4" t="s">
        <v>393</v>
      </c>
      <c r="C57" s="25">
        <v>57500</v>
      </c>
      <c r="Q57" s="8"/>
      <c r="R57" s="8"/>
      <c r="S57" s="8"/>
      <c r="T57" s="8"/>
      <c r="U57" s="8"/>
    </row>
    <row r="58" spans="1:21" ht="12.75">
      <c r="A58" s="4" t="s">
        <v>191</v>
      </c>
      <c r="C58" s="25">
        <f>(C56-C57)*25%</f>
        <v>54062.5</v>
      </c>
      <c r="Q58" s="8"/>
      <c r="R58" s="36"/>
      <c r="S58" s="8"/>
      <c r="T58" s="8"/>
      <c r="U58" s="8"/>
    </row>
    <row r="59" spans="1:21" ht="12.75">
      <c r="A59" s="4" t="s">
        <v>19</v>
      </c>
      <c r="C59" s="50">
        <f>K37+K30+K38+K39</f>
        <v>47000</v>
      </c>
      <c r="Q59" s="8"/>
      <c r="R59" s="8"/>
      <c r="S59" s="8"/>
      <c r="T59" s="8"/>
      <c r="U59" s="8"/>
    </row>
    <row r="60" spans="1:21" ht="12.75">
      <c r="A60" s="4" t="s">
        <v>188</v>
      </c>
      <c r="B60" s="28">
        <v>37985</v>
      </c>
      <c r="C60" s="25">
        <f>C58-C59</f>
        <v>7062.5</v>
      </c>
      <c r="Q60" s="8"/>
      <c r="R60" s="8"/>
      <c r="S60" s="8"/>
      <c r="T60" s="8"/>
      <c r="U60" s="8"/>
    </row>
    <row r="61" spans="1:21" ht="12.75">
      <c r="A61" s="4"/>
      <c r="B61" s="76"/>
      <c r="C61" s="25"/>
      <c r="Q61" s="8"/>
      <c r="R61" s="8"/>
      <c r="S61" s="8"/>
      <c r="T61" s="8"/>
      <c r="U61" s="8"/>
    </row>
    <row r="62" spans="1:21" ht="12.75">
      <c r="A62" s="4" t="s">
        <v>289</v>
      </c>
      <c r="C62" s="50">
        <v>-2500</v>
      </c>
      <c r="Q62" s="8"/>
      <c r="R62" s="36"/>
      <c r="S62" s="8"/>
      <c r="T62" s="8"/>
      <c r="U62" s="36"/>
    </row>
    <row r="63" spans="1:21" ht="12.75">
      <c r="A63" s="4" t="s">
        <v>291</v>
      </c>
      <c r="C63" s="25">
        <f>C60+C62</f>
        <v>4562.5</v>
      </c>
      <c r="Q63" s="8"/>
      <c r="R63" s="36"/>
      <c r="S63" s="8"/>
      <c r="T63" s="8"/>
      <c r="U63" s="36"/>
    </row>
    <row r="64" spans="17:21" ht="12.75">
      <c r="Q64" s="8"/>
      <c r="R64" s="36"/>
      <c r="S64" s="8"/>
      <c r="T64" s="8"/>
      <c r="U64" s="36"/>
    </row>
    <row r="65" spans="1:21" ht="12.75">
      <c r="A65" s="125" t="s">
        <v>390</v>
      </c>
      <c r="B65" s="126"/>
      <c r="C65" s="126"/>
      <c r="D65" s="126"/>
      <c r="E65" s="126"/>
      <c r="F65" s="126"/>
      <c r="G65" s="126"/>
      <c r="H65" s="126"/>
      <c r="I65" s="126"/>
      <c r="Q65" s="8"/>
      <c r="R65" s="36"/>
      <c r="S65" s="8"/>
      <c r="T65" s="8"/>
      <c r="U65" s="36"/>
    </row>
    <row r="66" spans="1:21" ht="12.75">
      <c r="A66" s="125" t="s">
        <v>391</v>
      </c>
      <c r="B66" s="126"/>
      <c r="C66" s="126"/>
      <c r="D66" s="126"/>
      <c r="E66" s="126"/>
      <c r="F66" s="126"/>
      <c r="G66" s="126"/>
      <c r="H66" s="126"/>
      <c r="I66" s="126"/>
      <c r="Q66" s="8"/>
      <c r="R66" s="36"/>
      <c r="S66" s="8"/>
      <c r="T66" s="8"/>
      <c r="U66" s="36"/>
    </row>
    <row r="67" spans="1:21" ht="12.75">
      <c r="A67" s="125" t="s">
        <v>392</v>
      </c>
      <c r="B67" s="126"/>
      <c r="C67" s="126"/>
      <c r="D67" s="126"/>
      <c r="E67" s="126"/>
      <c r="F67" s="126"/>
      <c r="G67" s="126"/>
      <c r="H67" s="126"/>
      <c r="I67" s="126"/>
      <c r="Q67" s="8"/>
      <c r="R67" s="36"/>
      <c r="S67" s="8"/>
      <c r="T67" s="8"/>
      <c r="U67" s="36"/>
    </row>
    <row r="68" spans="17:21" ht="12.75">
      <c r="Q68" s="8"/>
      <c r="R68" s="36"/>
      <c r="S68" s="8"/>
      <c r="T68" s="8"/>
      <c r="U68" s="36"/>
    </row>
    <row r="69" spans="1:21" ht="12.75">
      <c r="A69" s="4" t="s">
        <v>349</v>
      </c>
      <c r="Q69" s="8"/>
      <c r="R69" s="36"/>
      <c r="S69" s="8"/>
      <c r="T69" s="8"/>
      <c r="U69" s="36"/>
    </row>
    <row r="70" spans="17:21" ht="12.75">
      <c r="Q70" s="8"/>
      <c r="R70" s="36"/>
      <c r="S70" s="8"/>
      <c r="T70" s="8"/>
      <c r="U70" s="36"/>
    </row>
    <row r="71" spans="17:21" ht="12.75">
      <c r="Q71" s="8"/>
      <c r="R71" s="36"/>
      <c r="S71" s="8"/>
      <c r="T71" s="8"/>
      <c r="U71" s="36"/>
    </row>
    <row r="72" spans="17:21" ht="12.75">
      <c r="Q72" s="8"/>
      <c r="R72" s="36"/>
      <c r="S72" s="8"/>
      <c r="T72" s="8"/>
      <c r="U72" s="36"/>
    </row>
    <row r="73" spans="17:21" ht="12.75">
      <c r="Q73" s="8"/>
      <c r="R73" s="36"/>
      <c r="S73" s="8"/>
      <c r="T73" s="8"/>
      <c r="U73" s="36"/>
    </row>
    <row r="74" spans="17:21" ht="12.75">
      <c r="Q74" s="8"/>
      <c r="R74" s="36"/>
      <c r="S74" s="8"/>
      <c r="T74" s="8"/>
      <c r="U74" s="36"/>
    </row>
    <row r="75" spans="17:21" ht="12.75">
      <c r="Q75" s="8"/>
      <c r="R75" s="36"/>
      <c r="S75" s="8"/>
      <c r="T75" s="8"/>
      <c r="U75" s="36"/>
    </row>
    <row r="76" spans="17:21" ht="12.75">
      <c r="Q76" s="25"/>
      <c r="R76" s="25"/>
      <c r="S76" s="25"/>
      <c r="T76" s="25"/>
      <c r="U76" s="25"/>
    </row>
    <row r="77" spans="17:21" ht="12.75">
      <c r="Q77" s="25"/>
      <c r="R77" s="25"/>
      <c r="S77" s="25"/>
      <c r="T77" s="25"/>
      <c r="U77" s="25"/>
    </row>
    <row r="78" spans="17:21" ht="12.75">
      <c r="Q78" s="25"/>
      <c r="R78" s="25"/>
      <c r="S78" s="25"/>
      <c r="T78" s="25"/>
      <c r="U78" s="25"/>
    </row>
    <row r="79" spans="17:21" ht="12.75">
      <c r="Q79" s="25"/>
      <c r="R79" s="25"/>
      <c r="S79" s="25"/>
      <c r="T79" s="25"/>
      <c r="U79" s="25"/>
    </row>
    <row r="80" spans="17:21" ht="12.75">
      <c r="Q80" s="25"/>
      <c r="R80" s="25"/>
      <c r="S80" s="25"/>
      <c r="T80" s="25"/>
      <c r="U80" s="25"/>
    </row>
    <row r="81" spans="17:21" ht="12.75">
      <c r="Q81" s="25"/>
      <c r="R81" s="25"/>
      <c r="S81" s="25"/>
      <c r="T81" s="25"/>
      <c r="U81" s="25"/>
    </row>
    <row r="82" spans="17:21" ht="12.75">
      <c r="Q82" s="25"/>
      <c r="R82" s="25"/>
      <c r="S82" s="25"/>
      <c r="T82" s="25"/>
      <c r="U82" s="25"/>
    </row>
    <row r="83" spans="17:21" ht="12.75">
      <c r="Q83" s="25"/>
      <c r="R83" s="25"/>
      <c r="S83" s="25"/>
      <c r="T83" s="25"/>
      <c r="U83" s="25"/>
    </row>
    <row r="84" spans="17:21" ht="12.75">
      <c r="Q84" s="4"/>
      <c r="R84" s="4"/>
      <c r="S84" s="4"/>
      <c r="T84" s="4"/>
      <c r="U84" s="4"/>
    </row>
    <row r="85" spans="17:21" ht="12.75">
      <c r="Q85" s="4"/>
      <c r="R85" s="4"/>
      <c r="S85" s="4"/>
      <c r="T85" s="4"/>
      <c r="U85" s="4"/>
    </row>
    <row r="86" spans="17:21" ht="12.75">
      <c r="Q86" s="4"/>
      <c r="R86" s="4"/>
      <c r="S86" s="4"/>
      <c r="T86" s="4"/>
      <c r="U86" s="4"/>
    </row>
    <row r="87" spans="17:21" ht="12.75">
      <c r="Q87" s="4"/>
      <c r="R87" s="4"/>
      <c r="S87" s="4"/>
      <c r="T87" s="4"/>
      <c r="U87" s="4"/>
    </row>
    <row r="88" spans="17:21" ht="12.75">
      <c r="Q88" s="4"/>
      <c r="R88" s="4"/>
      <c r="S88" s="4"/>
      <c r="T88" s="4"/>
      <c r="U88" s="4"/>
    </row>
    <row r="89" spans="17:21" ht="12.75">
      <c r="Q89" s="4"/>
      <c r="R89" s="4"/>
      <c r="S89" s="4"/>
      <c r="T89" s="4"/>
      <c r="U89" s="4"/>
    </row>
    <row r="90" spans="17:21" ht="12.75">
      <c r="Q90" s="4"/>
      <c r="R90" s="4"/>
      <c r="S90" s="4"/>
      <c r="T90" s="4"/>
      <c r="U90" s="4"/>
    </row>
    <row r="91" spans="17:21" ht="12.75">
      <c r="Q91" s="4"/>
      <c r="R91" s="4"/>
      <c r="S91" s="4"/>
      <c r="T91" s="4"/>
      <c r="U91" s="4"/>
    </row>
    <row r="92" spans="17:21" ht="12.75">
      <c r="Q92" s="4"/>
      <c r="R92" s="4"/>
      <c r="S92" s="4"/>
      <c r="T92" s="4"/>
      <c r="U92" s="4"/>
    </row>
  </sheetData>
  <mergeCells count="8">
    <mergeCell ref="K9:L9"/>
    <mergeCell ref="K10:L10"/>
    <mergeCell ref="N9:O9"/>
    <mergeCell ref="N10:O10"/>
    <mergeCell ref="T9:U9"/>
    <mergeCell ref="T10:U10"/>
    <mergeCell ref="Q9:R9"/>
    <mergeCell ref="Q10:R10"/>
  </mergeCells>
  <printOptions/>
  <pageMargins left="0.26" right="0.23" top="1" bottom="1" header="0.5" footer="0.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93"/>
  <sheetViews>
    <sheetView workbookViewId="0" topLeftCell="A1">
      <selection activeCell="D29" sqref="D29"/>
    </sheetView>
  </sheetViews>
  <sheetFormatPr defaultColWidth="9.00390625" defaultRowHeight="12.75"/>
  <cols>
    <col min="1" max="1" width="23.625" style="0" customWidth="1"/>
    <col min="2" max="2" width="10.75390625" style="0" customWidth="1"/>
    <col min="3" max="3" width="8.00390625" style="0" customWidth="1"/>
    <col min="4" max="4" width="4.125" style="0" customWidth="1"/>
    <col min="5" max="5" width="7.375" style="0" customWidth="1"/>
    <col min="6" max="6" width="8.625" style="0" customWidth="1"/>
    <col min="7" max="7" width="1.625" style="0" customWidth="1"/>
    <col min="8" max="8" width="6.75390625" style="0" customWidth="1"/>
    <col min="9" max="9" width="9.375" style="0" customWidth="1"/>
    <col min="10" max="10" width="1.37890625" style="0" customWidth="1"/>
    <col min="11" max="11" width="6.75390625" style="0" customWidth="1"/>
    <col min="12" max="12" width="7.125" style="0" customWidth="1"/>
    <col min="13" max="13" width="1.00390625" style="0" customWidth="1"/>
    <col min="14" max="14" width="6.375" style="0" customWidth="1"/>
    <col min="15" max="15" width="6.125" style="0" customWidth="1"/>
    <col min="16" max="16" width="1.12109375" style="7" customWidth="1"/>
    <col min="17" max="18" width="6.00390625" style="0" customWidth="1"/>
    <col min="19" max="19" width="1.25" style="0" customWidth="1"/>
    <col min="20" max="20" width="5.00390625" style="0" customWidth="1"/>
    <col min="21" max="21" width="6.00390625" style="0" customWidth="1"/>
  </cols>
  <sheetData>
    <row r="1" ht="12.75">
      <c r="A1" s="16" t="s">
        <v>156</v>
      </c>
    </row>
    <row r="2" ht="12.75">
      <c r="A2" s="16"/>
    </row>
    <row r="3" ht="12.75">
      <c r="A3" s="10" t="s">
        <v>428</v>
      </c>
    </row>
    <row r="4" ht="12.75">
      <c r="A4" s="10"/>
    </row>
    <row r="5" spans="1:32" ht="12.75">
      <c r="A5" s="33" t="s">
        <v>419</v>
      </c>
      <c r="B5" s="9"/>
      <c r="C5" s="25"/>
      <c r="D5" s="25"/>
      <c r="E5" s="25"/>
      <c r="F5" s="25"/>
      <c r="G5" s="25"/>
      <c r="H5" s="25"/>
      <c r="I5" s="25"/>
      <c r="J5" s="26"/>
      <c r="K5" s="4"/>
      <c r="L5" s="4"/>
      <c r="M5" s="4"/>
      <c r="N5" s="4"/>
      <c r="O5" s="4"/>
      <c r="P5" s="3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2.75">
      <c r="A6" s="33" t="s">
        <v>429</v>
      </c>
      <c r="B6" s="127"/>
      <c r="C6" s="101"/>
      <c r="D6" s="101"/>
      <c r="E6" s="101"/>
      <c r="F6" s="101"/>
      <c r="G6" s="101"/>
      <c r="H6" s="101"/>
      <c r="I6" s="25"/>
      <c r="J6" s="26"/>
      <c r="K6" s="4"/>
      <c r="L6" s="4"/>
      <c r="M6" s="4"/>
      <c r="N6" s="4"/>
      <c r="O6" s="4"/>
      <c r="P6" s="3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2.75">
      <c r="A7" s="129" t="s">
        <v>430</v>
      </c>
      <c r="B7" s="127"/>
      <c r="C7" s="101"/>
      <c r="D7" s="101"/>
      <c r="E7" s="101"/>
      <c r="F7" s="101"/>
      <c r="G7" s="101"/>
      <c r="H7" s="101"/>
      <c r="I7" s="25"/>
      <c r="J7" s="26"/>
      <c r="K7" s="4"/>
      <c r="L7" s="4"/>
      <c r="M7" s="4"/>
      <c r="N7" s="4"/>
      <c r="O7" s="4"/>
      <c r="P7" s="3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99" customFormat="1" ht="12.75">
      <c r="A8" s="129"/>
      <c r="B8" s="127"/>
      <c r="C8" s="101"/>
      <c r="D8" s="101"/>
      <c r="E8" s="101"/>
      <c r="F8" s="101"/>
      <c r="G8" s="101"/>
      <c r="H8" s="101"/>
      <c r="I8" s="101"/>
      <c r="J8" s="128"/>
      <c r="K8" s="129"/>
      <c r="L8" s="129"/>
      <c r="M8" s="129"/>
      <c r="N8" s="129"/>
      <c r="O8" s="129"/>
      <c r="P8" s="98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</row>
    <row r="9" spans="1:32" ht="12.75">
      <c r="A9" s="4"/>
      <c r="B9" s="9"/>
      <c r="C9" s="25"/>
      <c r="D9" s="25"/>
      <c r="E9" s="4" t="s">
        <v>18</v>
      </c>
      <c r="F9" s="4"/>
      <c r="G9" s="4"/>
      <c r="H9" s="4" t="s">
        <v>45</v>
      </c>
      <c r="I9" s="4"/>
      <c r="J9" s="4"/>
      <c r="K9" s="148" t="s">
        <v>234</v>
      </c>
      <c r="L9" s="148"/>
      <c r="M9" s="4"/>
      <c r="N9" s="148" t="s">
        <v>189</v>
      </c>
      <c r="O9" s="148"/>
      <c r="P9" s="33"/>
      <c r="Q9" s="148" t="s">
        <v>310</v>
      </c>
      <c r="R9" s="148"/>
      <c r="S9" s="33"/>
      <c r="T9" s="148" t="s">
        <v>308</v>
      </c>
      <c r="U9" s="148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2.75">
      <c r="A10" s="4"/>
      <c r="B10" s="9"/>
      <c r="C10" s="25"/>
      <c r="D10" s="25"/>
      <c r="E10" s="21" t="s">
        <v>47</v>
      </c>
      <c r="F10" s="21"/>
      <c r="G10" s="4"/>
      <c r="H10" s="21" t="s">
        <v>47</v>
      </c>
      <c r="I10" s="21"/>
      <c r="J10" s="4"/>
      <c r="K10" s="149" t="s">
        <v>117</v>
      </c>
      <c r="L10" s="149"/>
      <c r="M10" s="4"/>
      <c r="N10" s="149" t="s">
        <v>190</v>
      </c>
      <c r="O10" s="149"/>
      <c r="P10" s="33"/>
      <c r="Q10" s="149" t="s">
        <v>198</v>
      </c>
      <c r="R10" s="149"/>
      <c r="S10" s="33"/>
      <c r="T10" s="149" t="s">
        <v>309</v>
      </c>
      <c r="U10" s="149"/>
      <c r="V10" s="4"/>
      <c r="W10" s="33"/>
      <c r="X10" s="33"/>
      <c r="Y10" s="4"/>
      <c r="Z10" s="4"/>
      <c r="AA10" s="4"/>
      <c r="AB10" s="4"/>
      <c r="AC10" s="4"/>
      <c r="AD10" s="4"/>
      <c r="AE10" s="4"/>
      <c r="AF10" s="4"/>
    </row>
    <row r="11" spans="1:32" ht="12.75">
      <c r="A11" s="22" t="s">
        <v>173</v>
      </c>
      <c r="B11" s="23">
        <v>37256</v>
      </c>
      <c r="C11" s="24">
        <v>75000</v>
      </c>
      <c r="D11" s="25"/>
      <c r="E11" s="5">
        <v>175000</v>
      </c>
      <c r="F11" s="26"/>
      <c r="G11" s="25"/>
      <c r="H11" s="5"/>
      <c r="I11" s="26">
        <v>100000</v>
      </c>
      <c r="J11" s="4"/>
      <c r="K11" s="5"/>
      <c r="L11" s="26"/>
      <c r="M11" s="4"/>
      <c r="N11" s="5"/>
      <c r="O11" s="26"/>
      <c r="P11" s="36"/>
      <c r="Q11" s="5"/>
      <c r="R11" s="36"/>
      <c r="S11" s="8"/>
      <c r="T11" s="5"/>
      <c r="U11" s="36"/>
      <c r="V11" s="4"/>
      <c r="W11" s="8"/>
      <c r="X11" s="36"/>
      <c r="Y11" s="4"/>
      <c r="Z11" s="4"/>
      <c r="AA11" s="4"/>
      <c r="AB11" s="4"/>
      <c r="AC11" s="4"/>
      <c r="AD11" s="4"/>
      <c r="AE11" s="4"/>
      <c r="AF11" s="4"/>
    </row>
    <row r="12" spans="1:32" ht="12.75">
      <c r="A12" s="27"/>
      <c r="B12" s="28"/>
      <c r="C12" s="5"/>
      <c r="D12" s="25"/>
      <c r="E12" s="5"/>
      <c r="F12" s="26"/>
      <c r="G12" s="25"/>
      <c r="H12" s="5"/>
      <c r="I12" s="26"/>
      <c r="J12" s="4"/>
      <c r="K12" s="5"/>
      <c r="L12" s="26"/>
      <c r="M12" s="4"/>
      <c r="N12" s="5"/>
      <c r="O12" s="26"/>
      <c r="P12" s="36"/>
      <c r="Q12" s="5"/>
      <c r="R12" s="36"/>
      <c r="S12" s="8"/>
      <c r="T12" s="5"/>
      <c r="U12" s="36"/>
      <c r="V12" s="4"/>
      <c r="W12" s="8"/>
      <c r="X12" s="36"/>
      <c r="Y12" s="4"/>
      <c r="Z12" s="4"/>
      <c r="AA12" s="4"/>
      <c r="AB12" s="4"/>
      <c r="AC12" s="4"/>
      <c r="AD12" s="4"/>
      <c r="AE12" s="4"/>
      <c r="AF12" s="4"/>
    </row>
    <row r="13" spans="1:32" ht="12.75">
      <c r="A13" s="27" t="s">
        <v>20</v>
      </c>
      <c r="B13" s="28">
        <v>37437</v>
      </c>
      <c r="C13" s="5">
        <v>90000</v>
      </c>
      <c r="D13" s="25"/>
      <c r="E13" s="5">
        <f>C13</f>
        <v>90000</v>
      </c>
      <c r="F13" s="26"/>
      <c r="G13" s="25"/>
      <c r="H13" s="5"/>
      <c r="I13" s="26"/>
      <c r="J13" s="4"/>
      <c r="K13" s="5"/>
      <c r="L13" s="26"/>
      <c r="M13" s="4"/>
      <c r="N13" s="5"/>
      <c r="O13" s="26"/>
      <c r="P13" s="36"/>
      <c r="Q13" s="5"/>
      <c r="R13" s="36"/>
      <c r="S13" s="8"/>
      <c r="T13" s="5"/>
      <c r="U13" s="36"/>
      <c r="V13" s="4"/>
      <c r="W13" s="8"/>
      <c r="X13" s="36"/>
      <c r="Y13" s="4"/>
      <c r="Z13" s="4"/>
      <c r="AA13" s="4"/>
      <c r="AB13" s="4"/>
      <c r="AC13" s="4"/>
      <c r="AD13" s="4"/>
      <c r="AE13" s="4"/>
      <c r="AF13" s="4"/>
    </row>
    <row r="14" spans="1:32" ht="12.75">
      <c r="A14" s="27"/>
      <c r="B14" s="28"/>
      <c r="C14" s="5"/>
      <c r="D14" s="25"/>
      <c r="E14" s="5"/>
      <c r="F14" s="26"/>
      <c r="G14" s="25"/>
      <c r="H14" s="5"/>
      <c r="I14" s="26"/>
      <c r="J14" s="4"/>
      <c r="K14" s="5"/>
      <c r="L14" s="26"/>
      <c r="M14" s="4"/>
      <c r="N14" s="5"/>
      <c r="O14" s="26"/>
      <c r="P14" s="36"/>
      <c r="Q14" s="5"/>
      <c r="R14" s="36"/>
      <c r="S14" s="8"/>
      <c r="T14" s="5"/>
      <c r="U14" s="36"/>
      <c r="V14" s="4"/>
      <c r="W14" s="8"/>
      <c r="X14" s="36"/>
      <c r="Y14" s="4"/>
      <c r="Z14" s="4"/>
      <c r="AA14" s="4"/>
      <c r="AB14" s="4"/>
      <c r="AC14" s="4"/>
      <c r="AD14" s="4"/>
      <c r="AE14" s="4"/>
      <c r="AF14" s="4"/>
    </row>
    <row r="15" spans="1:32" ht="12.75">
      <c r="A15" s="27" t="s">
        <v>19</v>
      </c>
      <c r="B15" s="28">
        <v>37620</v>
      </c>
      <c r="C15" s="5"/>
      <c r="D15" s="25"/>
      <c r="E15" s="5"/>
      <c r="F15" s="26"/>
      <c r="G15" s="25"/>
      <c r="H15" s="5"/>
      <c r="I15" s="26"/>
      <c r="J15" s="4"/>
      <c r="K15" s="5"/>
      <c r="L15" s="26"/>
      <c r="M15" s="4"/>
      <c r="N15" s="5"/>
      <c r="O15" s="26"/>
      <c r="P15" s="36"/>
      <c r="Q15" s="5"/>
      <c r="R15" s="36"/>
      <c r="S15" s="8"/>
      <c r="T15" s="5"/>
      <c r="U15" s="36"/>
      <c r="V15" s="4"/>
      <c r="W15" s="8"/>
      <c r="X15" s="36"/>
      <c r="Y15" s="4"/>
      <c r="Z15" s="4"/>
      <c r="AA15" s="4"/>
      <c r="AB15" s="4"/>
      <c r="AC15" s="4"/>
      <c r="AD15" s="4"/>
      <c r="AE15" s="4"/>
      <c r="AF15" s="4"/>
    </row>
    <row r="16" spans="1:32" ht="12.75">
      <c r="A16" s="27" t="str">
        <f>'liite 3b'!A15</f>
        <v> - ennen tilikautta 2006 hankituista</v>
      </c>
      <c r="B16" s="28"/>
      <c r="C16" s="5">
        <v>-15000</v>
      </c>
      <c r="D16" s="25"/>
      <c r="E16" s="5"/>
      <c r="F16" s="26"/>
      <c r="G16" s="25"/>
      <c r="H16" s="5"/>
      <c r="I16" s="26">
        <f>-C16</f>
        <v>15000</v>
      </c>
      <c r="J16" s="4"/>
      <c r="K16" s="5">
        <f>+I16</f>
        <v>15000</v>
      </c>
      <c r="L16" s="26"/>
      <c r="M16" s="4"/>
      <c r="N16" s="5"/>
      <c r="O16" s="26"/>
      <c r="P16" s="36"/>
      <c r="Q16" s="5"/>
      <c r="R16" s="36"/>
      <c r="S16" s="8"/>
      <c r="T16" s="5"/>
      <c r="U16" s="36"/>
      <c r="V16" s="4"/>
      <c r="W16" s="8"/>
      <c r="X16" s="36"/>
      <c r="Y16" s="4"/>
      <c r="Z16" s="4"/>
      <c r="AA16" s="4"/>
      <c r="AB16" s="4"/>
      <c r="AC16" s="4"/>
      <c r="AD16" s="4"/>
      <c r="AE16" s="4"/>
      <c r="AF16" s="4"/>
    </row>
    <row r="17" spans="1:32" ht="12.75">
      <c r="A17" s="27" t="s">
        <v>49</v>
      </c>
      <c r="B17" s="28"/>
      <c r="C17" s="5">
        <v>-9000</v>
      </c>
      <c r="D17" s="25"/>
      <c r="E17" s="38"/>
      <c r="F17" s="52"/>
      <c r="G17" s="53"/>
      <c r="H17" s="38"/>
      <c r="I17" s="52">
        <f>-C17</f>
        <v>9000</v>
      </c>
      <c r="J17" s="21"/>
      <c r="K17" s="38">
        <f>+I17</f>
        <v>9000</v>
      </c>
      <c r="L17" s="52"/>
      <c r="M17" s="21"/>
      <c r="N17" s="38"/>
      <c r="O17" s="52"/>
      <c r="P17" s="52"/>
      <c r="Q17" s="38"/>
      <c r="R17" s="52"/>
      <c r="S17" s="53"/>
      <c r="T17" s="38"/>
      <c r="U17" s="52"/>
      <c r="V17" s="4"/>
      <c r="W17" s="8"/>
      <c r="X17" s="36"/>
      <c r="Y17" s="4"/>
      <c r="Z17" s="4"/>
      <c r="AA17" s="4"/>
      <c r="AB17" s="4"/>
      <c r="AC17" s="4"/>
      <c r="AD17" s="4"/>
      <c r="AE17" s="4"/>
      <c r="AF17" s="4"/>
    </row>
    <row r="18" spans="1:32" ht="12.75">
      <c r="A18" s="27"/>
      <c r="B18" s="28"/>
      <c r="C18" s="5"/>
      <c r="D18" s="25"/>
      <c r="E18" s="5"/>
      <c r="F18" s="36"/>
      <c r="G18" s="8"/>
      <c r="H18" s="5"/>
      <c r="I18" s="36"/>
      <c r="J18" s="33"/>
      <c r="K18" s="5"/>
      <c r="L18" s="36"/>
      <c r="M18" s="4"/>
      <c r="N18" s="5"/>
      <c r="O18" s="26"/>
      <c r="P18" s="36"/>
      <c r="Q18" s="5"/>
      <c r="R18" s="36"/>
      <c r="S18" s="8"/>
      <c r="T18" s="5"/>
      <c r="U18" s="36"/>
      <c r="V18" s="4"/>
      <c r="W18" s="8"/>
      <c r="X18" s="36"/>
      <c r="Y18" s="4"/>
      <c r="Z18" s="4"/>
      <c r="AA18" s="4"/>
      <c r="AB18" s="4"/>
      <c r="AC18" s="4"/>
      <c r="AD18" s="4"/>
      <c r="AE18" s="4"/>
      <c r="AF18" s="4"/>
    </row>
    <row r="19" spans="1:32" ht="12.75">
      <c r="A19" s="27" t="s">
        <v>173</v>
      </c>
      <c r="B19" s="28">
        <f>B15</f>
        <v>37620</v>
      </c>
      <c r="C19" s="24">
        <f>SUM(C11:C17)</f>
        <v>141000</v>
      </c>
      <c r="D19" s="25"/>
      <c r="E19" s="8">
        <f>SUM(E11:E18)</f>
        <v>265000</v>
      </c>
      <c r="F19" s="63"/>
      <c r="G19" s="8"/>
      <c r="H19" s="8"/>
      <c r="I19" s="63">
        <f>SUM(I16:I18)</f>
        <v>24000</v>
      </c>
      <c r="J19" s="33"/>
      <c r="K19" s="8">
        <f>SUM(K16:K18)</f>
        <v>24000</v>
      </c>
      <c r="L19" s="63"/>
      <c r="M19" s="4"/>
      <c r="N19" s="5"/>
      <c r="O19" s="26"/>
      <c r="P19" s="36"/>
      <c r="Q19" s="5"/>
      <c r="R19" s="36"/>
      <c r="S19" s="8"/>
      <c r="T19" s="5"/>
      <c r="U19" s="36"/>
      <c r="V19" s="4"/>
      <c r="W19" s="8"/>
      <c r="X19" s="36"/>
      <c r="Y19" s="4"/>
      <c r="Z19" s="4"/>
      <c r="AA19" s="4"/>
      <c r="AB19" s="4"/>
      <c r="AC19" s="4"/>
      <c r="AD19" s="4"/>
      <c r="AE19" s="4"/>
      <c r="AF19" s="4"/>
    </row>
    <row r="20" spans="1:32" ht="12.75">
      <c r="A20" s="27"/>
      <c r="B20" s="28"/>
      <c r="C20" s="5"/>
      <c r="D20" s="25"/>
      <c r="E20" s="5"/>
      <c r="F20" s="36"/>
      <c r="G20" s="8"/>
      <c r="H20" s="5"/>
      <c r="I20" s="36"/>
      <c r="J20" s="33"/>
      <c r="K20" s="5"/>
      <c r="L20" s="36"/>
      <c r="M20" s="4"/>
      <c r="N20" s="5"/>
      <c r="O20" s="26"/>
      <c r="P20" s="36"/>
      <c r="Q20" s="5"/>
      <c r="R20" s="36"/>
      <c r="S20" s="8"/>
      <c r="T20" s="5"/>
      <c r="U20" s="36"/>
      <c r="V20" s="4"/>
      <c r="W20" s="8"/>
      <c r="X20" s="36"/>
      <c r="Y20" s="4"/>
      <c r="Z20" s="4"/>
      <c r="AA20" s="4"/>
      <c r="AB20" s="4"/>
      <c r="AC20" s="4"/>
      <c r="AD20" s="4"/>
      <c r="AE20" s="4"/>
      <c r="AF20" s="4"/>
    </row>
    <row r="21" spans="1:32" ht="12.75">
      <c r="A21" s="27" t="s">
        <v>188</v>
      </c>
      <c r="B21" s="28">
        <v>37620</v>
      </c>
      <c r="C21" s="5">
        <v>17250</v>
      </c>
      <c r="D21" s="25" t="s">
        <v>179</v>
      </c>
      <c r="E21" s="5"/>
      <c r="F21" s="36"/>
      <c r="G21" s="8"/>
      <c r="H21" s="5"/>
      <c r="I21" s="36"/>
      <c r="J21" s="33"/>
      <c r="K21" s="5"/>
      <c r="L21" s="36"/>
      <c r="M21" s="4"/>
      <c r="N21" s="5"/>
      <c r="O21" s="36"/>
      <c r="P21" s="4"/>
      <c r="Q21" s="5">
        <v>17250</v>
      </c>
      <c r="R21" s="8"/>
      <c r="S21" s="53"/>
      <c r="T21" s="5"/>
      <c r="U21" s="36">
        <v>17250</v>
      </c>
      <c r="V21" s="4"/>
      <c r="W21" s="8"/>
      <c r="X21" s="36"/>
      <c r="Y21" s="4"/>
      <c r="Z21" s="4"/>
      <c r="AA21" s="4"/>
      <c r="AB21" s="4"/>
      <c r="AC21" s="4"/>
      <c r="AD21" s="4"/>
      <c r="AE21" s="4"/>
      <c r="AF21" s="4"/>
    </row>
    <row r="22" spans="1:32" ht="13.5" thickBot="1">
      <c r="A22" s="27"/>
      <c r="B22" s="28"/>
      <c r="C22" s="5"/>
      <c r="D22" s="25"/>
      <c r="E22" s="54">
        <v>265000</v>
      </c>
      <c r="F22" s="55"/>
      <c r="G22" s="56"/>
      <c r="H22" s="54"/>
      <c r="I22" s="55">
        <v>124000</v>
      </c>
      <c r="J22" s="57"/>
      <c r="K22" s="54">
        <v>24000</v>
      </c>
      <c r="L22" s="55"/>
      <c r="M22" s="56"/>
      <c r="N22" s="56"/>
      <c r="O22" s="66"/>
      <c r="P22" s="56"/>
      <c r="Q22" s="56">
        <v>17250</v>
      </c>
      <c r="R22" s="92"/>
      <c r="S22" s="60"/>
      <c r="T22" s="56"/>
      <c r="U22" s="66">
        <v>17250</v>
      </c>
      <c r="V22" s="4"/>
      <c r="W22" s="8"/>
      <c r="X22" s="36"/>
      <c r="Y22" s="4"/>
      <c r="Z22" s="4"/>
      <c r="AA22" s="4"/>
      <c r="AB22" s="4"/>
      <c r="AC22" s="4"/>
      <c r="AD22" s="4"/>
      <c r="AE22" s="4"/>
      <c r="AF22" s="4"/>
    </row>
    <row r="23" spans="1:32" ht="13.5" thickTop="1">
      <c r="A23" s="27"/>
      <c r="B23" s="28"/>
      <c r="C23" s="5"/>
      <c r="D23" s="25"/>
      <c r="E23" s="5"/>
      <c r="F23" s="36"/>
      <c r="G23" s="8"/>
      <c r="H23" s="5"/>
      <c r="I23" s="36"/>
      <c r="J23" s="33"/>
      <c r="K23" s="5"/>
      <c r="L23" s="36"/>
      <c r="M23" s="4"/>
      <c r="N23" s="5"/>
      <c r="O23" s="26"/>
      <c r="P23" s="36"/>
      <c r="Q23" s="5"/>
      <c r="R23" s="36"/>
      <c r="S23" s="8"/>
      <c r="T23" s="5"/>
      <c r="U23" s="36"/>
      <c r="V23" s="4"/>
      <c r="W23" s="8"/>
      <c r="X23" s="36"/>
      <c r="Y23" s="4"/>
      <c r="Z23" s="4"/>
      <c r="AA23" s="4"/>
      <c r="AB23" s="4"/>
      <c r="AC23" s="4"/>
      <c r="AD23" s="4"/>
      <c r="AE23" s="4"/>
      <c r="AF23" s="4"/>
    </row>
    <row r="24" spans="1:32" ht="12.75">
      <c r="A24" s="27"/>
      <c r="B24" s="28"/>
      <c r="C24" s="5"/>
      <c r="D24" s="25"/>
      <c r="E24" s="5"/>
      <c r="F24" s="26"/>
      <c r="G24" s="25"/>
      <c r="H24" s="5"/>
      <c r="I24" s="26"/>
      <c r="J24" s="4"/>
      <c r="K24" s="5"/>
      <c r="L24" s="26"/>
      <c r="M24" s="4"/>
      <c r="N24" s="5"/>
      <c r="O24" s="26"/>
      <c r="P24" s="36"/>
      <c r="Q24" s="5"/>
      <c r="R24" s="36"/>
      <c r="S24" s="8"/>
      <c r="T24" s="8"/>
      <c r="U24" s="63"/>
      <c r="V24" s="4"/>
      <c r="W24" s="8"/>
      <c r="X24" s="36"/>
      <c r="Y24" s="4"/>
      <c r="Z24" s="4"/>
      <c r="AA24" s="4"/>
      <c r="AB24" s="4"/>
      <c r="AC24" s="4"/>
      <c r="AD24" s="4"/>
      <c r="AE24" s="4"/>
      <c r="AF24" s="4"/>
    </row>
    <row r="25" spans="1:32" ht="12.75">
      <c r="A25" s="27" t="s">
        <v>174</v>
      </c>
      <c r="B25" s="28">
        <v>37621</v>
      </c>
      <c r="C25" s="5"/>
      <c r="D25" s="25"/>
      <c r="E25" s="5">
        <f>+E22</f>
        <v>265000</v>
      </c>
      <c r="F25" s="26"/>
      <c r="G25" s="25"/>
      <c r="H25" s="5"/>
      <c r="I25" s="26">
        <f>+I22</f>
        <v>124000</v>
      </c>
      <c r="J25" s="4"/>
      <c r="K25" s="5"/>
      <c r="L25" s="26"/>
      <c r="M25" s="4"/>
      <c r="N25" s="5"/>
      <c r="O25" s="26"/>
      <c r="P25" s="36"/>
      <c r="Q25" s="8"/>
      <c r="R25" s="63"/>
      <c r="S25" s="8"/>
      <c r="T25" s="8"/>
      <c r="U25" s="63"/>
      <c r="V25" s="4"/>
      <c r="W25" s="8"/>
      <c r="X25" s="36"/>
      <c r="Y25" s="4"/>
      <c r="Z25" s="4"/>
      <c r="AA25" s="4"/>
      <c r="AB25" s="4"/>
      <c r="AC25" s="4"/>
      <c r="AD25" s="4"/>
      <c r="AE25" s="4"/>
      <c r="AF25" s="4"/>
    </row>
    <row r="26" spans="1:32" ht="12.75">
      <c r="A26" s="27" t="s">
        <v>21</v>
      </c>
      <c r="B26" s="28">
        <v>37725</v>
      </c>
      <c r="C26" s="5">
        <v>80000</v>
      </c>
      <c r="D26" s="25"/>
      <c r="E26" s="5">
        <f>+C26</f>
        <v>80000</v>
      </c>
      <c r="F26" s="26"/>
      <c r="G26" s="25"/>
      <c r="H26" s="5"/>
      <c r="I26" s="26"/>
      <c r="J26" s="4"/>
      <c r="K26" s="5"/>
      <c r="L26" s="26"/>
      <c r="M26" s="4"/>
      <c r="N26" s="5"/>
      <c r="O26" s="26"/>
      <c r="P26" s="36"/>
      <c r="Q26" s="8"/>
      <c r="R26" s="63"/>
      <c r="S26" s="8"/>
      <c r="T26" s="8"/>
      <c r="U26" s="63"/>
      <c r="V26" s="4"/>
      <c r="W26" s="8"/>
      <c r="X26" s="36"/>
      <c r="Y26" s="4"/>
      <c r="Z26" s="4"/>
      <c r="AA26" s="4"/>
      <c r="AB26" s="4"/>
      <c r="AC26" s="4"/>
      <c r="AD26" s="4"/>
      <c r="AE26" s="4"/>
      <c r="AF26" s="4"/>
    </row>
    <row r="27" spans="1:32" ht="12.75">
      <c r="A27" s="27" t="s">
        <v>22</v>
      </c>
      <c r="B27" s="28">
        <v>37801</v>
      </c>
      <c r="C27" s="5"/>
      <c r="D27" s="25"/>
      <c r="E27" s="5"/>
      <c r="F27" s="26"/>
      <c r="G27" s="25"/>
      <c r="H27" s="5"/>
      <c r="I27" s="26"/>
      <c r="J27" s="4"/>
      <c r="K27" s="5"/>
      <c r="L27" s="26"/>
      <c r="M27" s="4"/>
      <c r="N27" s="5"/>
      <c r="O27" s="26"/>
      <c r="P27" s="36"/>
      <c r="Q27" s="8"/>
      <c r="R27" s="63"/>
      <c r="S27" s="8"/>
      <c r="T27" s="8"/>
      <c r="U27" s="63"/>
      <c r="V27" s="4"/>
      <c r="W27" s="8"/>
      <c r="X27" s="36"/>
      <c r="Y27" s="4"/>
      <c r="Z27" s="4"/>
      <c r="AA27" s="4"/>
      <c r="AB27" s="4"/>
      <c r="AC27" s="4"/>
      <c r="AD27" s="4"/>
      <c r="AE27" s="4"/>
      <c r="AF27" s="4"/>
    </row>
    <row r="28" spans="1:32" ht="12.75">
      <c r="A28" s="27" t="s">
        <v>23</v>
      </c>
      <c r="B28" s="28"/>
      <c r="C28" s="5">
        <v>150000</v>
      </c>
      <c r="D28" s="25"/>
      <c r="E28" s="5">
        <f>C28</f>
        <v>150000</v>
      </c>
      <c r="F28" s="26"/>
      <c r="G28" s="25"/>
      <c r="H28" s="5"/>
      <c r="I28" s="26"/>
      <c r="J28" s="4"/>
      <c r="K28" s="5"/>
      <c r="L28" s="26"/>
      <c r="M28" s="4"/>
      <c r="N28" s="5"/>
      <c r="O28" s="26"/>
      <c r="P28" s="36"/>
      <c r="Q28" s="8"/>
      <c r="R28" s="63"/>
      <c r="S28" s="8"/>
      <c r="T28" s="8"/>
      <c r="U28" s="63"/>
      <c r="V28" s="4"/>
      <c r="W28" s="8"/>
      <c r="X28" s="36"/>
      <c r="Y28" s="4"/>
      <c r="Z28" s="4"/>
      <c r="AA28" s="4"/>
      <c r="AB28" s="4"/>
      <c r="AC28" s="4"/>
      <c r="AD28" s="4"/>
      <c r="AE28" s="4"/>
      <c r="AF28" s="4"/>
    </row>
    <row r="29" spans="1:32" ht="12.75">
      <c r="A29" s="27" t="s">
        <v>24</v>
      </c>
      <c r="B29" s="28"/>
      <c r="C29" s="5">
        <v>60000</v>
      </c>
      <c r="D29" s="25"/>
      <c r="E29" s="5"/>
      <c r="F29" s="26"/>
      <c r="G29" s="25"/>
      <c r="H29" s="5"/>
      <c r="I29" s="26"/>
      <c r="J29" s="4"/>
      <c r="K29" s="5"/>
      <c r="L29" s="26"/>
      <c r="M29" s="4"/>
      <c r="N29" s="5"/>
      <c r="O29" s="26">
        <v>60000</v>
      </c>
      <c r="P29" s="36"/>
      <c r="Q29" s="8"/>
      <c r="R29" s="63"/>
      <c r="S29" s="8"/>
      <c r="T29" s="8"/>
      <c r="U29" s="63"/>
      <c r="V29" s="4"/>
      <c r="W29" s="8"/>
      <c r="X29" s="36"/>
      <c r="Y29" s="4"/>
      <c r="Z29" s="4"/>
      <c r="AA29" s="4"/>
      <c r="AB29" s="4"/>
      <c r="AC29" s="4"/>
      <c r="AD29" s="4"/>
      <c r="AE29" s="4"/>
      <c r="AF29" s="4"/>
    </row>
    <row r="30" spans="1:32" ht="12.75">
      <c r="A30" s="27" t="s">
        <v>53</v>
      </c>
      <c r="B30" s="28"/>
      <c r="C30" s="5">
        <v>-9000</v>
      </c>
      <c r="D30" s="25"/>
      <c r="E30" s="5"/>
      <c r="F30" s="26"/>
      <c r="G30" s="25"/>
      <c r="H30" s="5"/>
      <c r="I30" s="26">
        <f>-C30</f>
        <v>9000</v>
      </c>
      <c r="J30" s="4"/>
      <c r="K30" s="5">
        <f>+I30</f>
        <v>9000</v>
      </c>
      <c r="L30" s="26"/>
      <c r="M30" s="4"/>
      <c r="N30" s="5"/>
      <c r="O30" s="26"/>
      <c r="P30" s="36"/>
      <c r="Q30" s="8"/>
      <c r="R30" s="63"/>
      <c r="S30" s="8"/>
      <c r="T30" s="8"/>
      <c r="U30" s="63"/>
      <c r="V30" s="4"/>
      <c r="W30" s="8"/>
      <c r="X30" s="36"/>
      <c r="Y30" s="4"/>
      <c r="Z30" s="4"/>
      <c r="AA30" s="4"/>
      <c r="AB30" s="4"/>
      <c r="AC30" s="4"/>
      <c r="AD30" s="4"/>
      <c r="AE30" s="4"/>
      <c r="AF30" s="4"/>
    </row>
    <row r="31" spans="1:32" ht="12.75">
      <c r="A31" s="27"/>
      <c r="B31" s="28"/>
      <c r="C31" s="5"/>
      <c r="D31" s="25"/>
      <c r="E31" s="5"/>
      <c r="F31" s="26"/>
      <c r="G31" s="25"/>
      <c r="H31" s="5"/>
      <c r="I31" s="26"/>
      <c r="J31" s="4"/>
      <c r="K31" s="5"/>
      <c r="L31" s="26"/>
      <c r="M31" s="4"/>
      <c r="N31" s="5"/>
      <c r="O31" s="26"/>
      <c r="P31" s="36"/>
      <c r="Q31" s="8"/>
      <c r="R31" s="63"/>
      <c r="S31" s="8"/>
      <c r="T31" s="8"/>
      <c r="U31" s="63"/>
      <c r="V31" s="4"/>
      <c r="W31" s="8"/>
      <c r="X31" s="36"/>
      <c r="Y31" s="4"/>
      <c r="Z31" s="4"/>
      <c r="AA31" s="4"/>
      <c r="AB31" s="4"/>
      <c r="AC31" s="4"/>
      <c r="AD31" s="4"/>
      <c r="AE31" s="4"/>
      <c r="AF31" s="4"/>
    </row>
    <row r="32" spans="1:32" ht="12.75">
      <c r="A32" s="27" t="s">
        <v>54</v>
      </c>
      <c r="B32" s="28"/>
      <c r="C32" s="5">
        <f>+C13+C17+C30</f>
        <v>72000</v>
      </c>
      <c r="D32" s="25"/>
      <c r="E32" s="5"/>
      <c r="F32" s="26">
        <v>90000</v>
      </c>
      <c r="G32" s="25"/>
      <c r="H32" s="5">
        <v>18000</v>
      </c>
      <c r="I32" s="26"/>
      <c r="J32" s="4"/>
      <c r="K32" s="5"/>
      <c r="L32" s="26"/>
      <c r="M32" s="4"/>
      <c r="N32" s="5">
        <v>72000</v>
      </c>
      <c r="O32" s="26"/>
      <c r="P32" s="36"/>
      <c r="Q32" s="8"/>
      <c r="R32" s="63"/>
      <c r="S32" s="8"/>
      <c r="T32" s="8"/>
      <c r="U32" s="63"/>
      <c r="V32" s="4"/>
      <c r="W32" s="8"/>
      <c r="X32" s="36"/>
      <c r="Y32" s="4"/>
      <c r="Z32" s="4"/>
      <c r="AA32" s="4"/>
      <c r="AB32" s="4"/>
      <c r="AC32" s="4"/>
      <c r="AD32" s="4"/>
      <c r="AE32" s="4"/>
      <c r="AF32" s="4"/>
    </row>
    <row r="33" spans="1:32" ht="12.75">
      <c r="A33" s="27" t="s">
        <v>55</v>
      </c>
      <c r="B33" s="28"/>
      <c r="C33" s="5">
        <f>+C29</f>
        <v>60000</v>
      </c>
      <c r="D33" s="25"/>
      <c r="E33" s="5"/>
      <c r="F33" s="26"/>
      <c r="G33" s="25"/>
      <c r="H33" s="5"/>
      <c r="I33" s="26"/>
      <c r="J33" s="4"/>
      <c r="K33" s="5"/>
      <c r="L33" s="26"/>
      <c r="M33" s="4"/>
      <c r="N33" s="5"/>
      <c r="O33" s="26"/>
      <c r="P33" s="36"/>
      <c r="Q33" s="8"/>
      <c r="R33" s="63"/>
      <c r="S33" s="8"/>
      <c r="T33" s="8"/>
      <c r="U33" s="63"/>
      <c r="V33" s="4"/>
      <c r="W33" s="8"/>
      <c r="X33" s="36"/>
      <c r="Y33" s="4"/>
      <c r="Z33" s="4"/>
      <c r="AA33" s="4"/>
      <c r="AB33" s="4"/>
      <c r="AC33" s="4"/>
      <c r="AD33" s="4"/>
      <c r="AE33" s="4"/>
      <c r="AF33" s="4"/>
    </row>
    <row r="34" spans="1:32" ht="12.75">
      <c r="A34" s="27" t="s">
        <v>56</v>
      </c>
      <c r="B34" s="28"/>
      <c r="C34" s="5">
        <f>-C32+C33</f>
        <v>-12000</v>
      </c>
      <c r="D34" s="25"/>
      <c r="E34" s="5"/>
      <c r="F34" s="26"/>
      <c r="G34" s="25"/>
      <c r="H34" s="5"/>
      <c r="I34" s="26"/>
      <c r="J34" s="4"/>
      <c r="K34" s="5"/>
      <c r="L34" s="26"/>
      <c r="M34" s="4"/>
      <c r="N34" s="5"/>
      <c r="O34" s="26"/>
      <c r="P34" s="36"/>
      <c r="Q34" s="8"/>
      <c r="R34" s="63"/>
      <c r="S34" s="8"/>
      <c r="T34" s="8"/>
      <c r="U34" s="63"/>
      <c r="V34" s="4"/>
      <c r="W34" s="8"/>
      <c r="X34" s="36"/>
      <c r="Y34" s="4"/>
      <c r="Z34" s="4"/>
      <c r="AA34" s="4"/>
      <c r="AB34" s="4"/>
      <c r="AC34" s="4"/>
      <c r="AD34" s="4"/>
      <c r="AE34" s="4"/>
      <c r="AF34" s="4"/>
    </row>
    <row r="35" spans="1:32" ht="12.75">
      <c r="A35" s="27"/>
      <c r="B35" s="28"/>
      <c r="C35" s="5"/>
      <c r="D35" s="25"/>
      <c r="E35" s="5"/>
      <c r="F35" s="26"/>
      <c r="G35" s="25"/>
      <c r="H35" s="5"/>
      <c r="I35" s="26"/>
      <c r="J35" s="4"/>
      <c r="K35" s="5"/>
      <c r="L35" s="26"/>
      <c r="M35" s="4"/>
      <c r="N35" s="5"/>
      <c r="O35" s="26"/>
      <c r="P35" s="36"/>
      <c r="Q35" s="8"/>
      <c r="R35" s="6"/>
      <c r="S35" s="8"/>
      <c r="T35" s="8"/>
      <c r="U35" s="63"/>
      <c r="V35" s="4"/>
      <c r="W35" s="8"/>
      <c r="X35" s="36"/>
      <c r="Y35" s="4"/>
      <c r="Z35" s="4"/>
      <c r="AA35" s="4"/>
      <c r="AB35" s="4"/>
      <c r="AC35" s="4"/>
      <c r="AD35" s="4"/>
      <c r="AE35" s="4"/>
      <c r="AF35" s="4"/>
    </row>
    <row r="36" spans="1:32" ht="12.75">
      <c r="A36" s="27" t="s">
        <v>19</v>
      </c>
      <c r="B36" s="28">
        <v>37985</v>
      </c>
      <c r="C36" s="5"/>
      <c r="D36" s="25"/>
      <c r="E36" s="5"/>
      <c r="F36" s="26"/>
      <c r="G36" s="25"/>
      <c r="H36" s="5"/>
      <c r="I36" s="26"/>
      <c r="J36" s="4"/>
      <c r="K36" s="5"/>
      <c r="L36" s="26"/>
      <c r="M36" s="4"/>
      <c r="N36" s="5"/>
      <c r="O36" s="26"/>
      <c r="P36" s="36"/>
      <c r="Q36" s="8"/>
      <c r="R36" s="6"/>
      <c r="S36" s="8"/>
      <c r="T36" s="8"/>
      <c r="U36" s="63"/>
      <c r="V36" s="4"/>
      <c r="W36" s="8"/>
      <c r="X36" s="36"/>
      <c r="Y36" s="4"/>
      <c r="Z36" s="4"/>
      <c r="AA36" s="4"/>
      <c r="AB36" s="4"/>
      <c r="AC36" s="4"/>
      <c r="AD36" s="4"/>
      <c r="AE36" s="4"/>
      <c r="AF36" s="4"/>
    </row>
    <row r="37" spans="1:32" ht="12.75">
      <c r="A37" s="27" t="str">
        <f>'liite 3a'!A25</f>
        <v> - ennen tilkautta 2007 hankituista</v>
      </c>
      <c r="B37" s="28"/>
      <c r="C37" s="5">
        <v>-15000</v>
      </c>
      <c r="D37" s="25"/>
      <c r="E37" s="5"/>
      <c r="F37" s="26"/>
      <c r="G37" s="25"/>
      <c r="H37" s="5"/>
      <c r="I37" s="26">
        <f>-C37</f>
        <v>15000</v>
      </c>
      <c r="J37" s="4"/>
      <c r="K37" s="5">
        <f>+I37</f>
        <v>15000</v>
      </c>
      <c r="L37" s="26"/>
      <c r="M37" s="4"/>
      <c r="N37" s="5"/>
      <c r="O37" s="26"/>
      <c r="P37" s="36"/>
      <c r="Q37" s="8"/>
      <c r="R37" s="6"/>
      <c r="S37" s="8"/>
      <c r="T37" s="8"/>
      <c r="U37" s="88"/>
      <c r="V37" s="4"/>
      <c r="W37" s="8"/>
      <c r="X37" s="36"/>
      <c r="Y37" s="4"/>
      <c r="Z37" s="4"/>
      <c r="AA37" s="4"/>
      <c r="AB37" s="4"/>
      <c r="AC37" s="4"/>
      <c r="AD37" s="4"/>
      <c r="AE37" s="4"/>
      <c r="AF37" s="4"/>
    </row>
    <row r="38" spans="1:32" ht="12.75">
      <c r="A38" s="27" t="s">
        <v>59</v>
      </c>
      <c r="B38" s="28"/>
      <c r="C38" s="5">
        <v>-8000</v>
      </c>
      <c r="D38" s="25" t="s">
        <v>200</v>
      </c>
      <c r="E38" s="5"/>
      <c r="F38" s="26"/>
      <c r="G38" s="25"/>
      <c r="H38" s="5"/>
      <c r="I38" s="26">
        <f>-C38</f>
        <v>8000</v>
      </c>
      <c r="J38" s="4"/>
      <c r="K38" s="5">
        <f>+I38</f>
        <v>8000</v>
      </c>
      <c r="L38" s="26"/>
      <c r="M38" s="4"/>
      <c r="N38" s="5"/>
      <c r="O38" s="26"/>
      <c r="P38" s="36"/>
      <c r="Q38" s="8"/>
      <c r="R38" s="6"/>
      <c r="S38" s="8"/>
      <c r="T38" s="8"/>
      <c r="U38" s="63"/>
      <c r="V38" s="4"/>
      <c r="W38" s="8"/>
      <c r="X38" s="36"/>
      <c r="Y38" s="4"/>
      <c r="Z38" s="4"/>
      <c r="AA38" s="4"/>
      <c r="AB38" s="4"/>
      <c r="AC38" s="4"/>
      <c r="AD38" s="4"/>
      <c r="AE38" s="4"/>
      <c r="AF38" s="4"/>
    </row>
    <row r="39" spans="1:32" ht="12.75">
      <c r="A39" s="27" t="s">
        <v>58</v>
      </c>
      <c r="B39" s="28"/>
      <c r="C39" s="5">
        <v>-15000</v>
      </c>
      <c r="D39" s="25"/>
      <c r="E39" s="5"/>
      <c r="F39" s="26"/>
      <c r="G39" s="25"/>
      <c r="H39" s="5"/>
      <c r="I39" s="26">
        <f>-C39</f>
        <v>15000</v>
      </c>
      <c r="J39" s="4"/>
      <c r="K39" s="5">
        <f>+I39</f>
        <v>15000</v>
      </c>
      <c r="L39" s="26"/>
      <c r="M39" s="4"/>
      <c r="N39" s="5"/>
      <c r="O39" s="26"/>
      <c r="P39" s="36"/>
      <c r="Q39" s="8"/>
      <c r="R39" s="6"/>
      <c r="S39" s="8"/>
      <c r="T39" s="8"/>
      <c r="U39" s="63"/>
      <c r="V39" s="4"/>
      <c r="W39" s="8"/>
      <c r="X39" s="36"/>
      <c r="Y39" s="4"/>
      <c r="Z39" s="4"/>
      <c r="AA39" s="4"/>
      <c r="AB39" s="4"/>
      <c r="AC39" s="4"/>
      <c r="AD39" s="4"/>
      <c r="AE39" s="4"/>
      <c r="AF39" s="4"/>
    </row>
    <row r="40" spans="1:32" ht="12.75">
      <c r="A40" s="27" t="s">
        <v>254</v>
      </c>
      <c r="B40" s="28"/>
      <c r="C40" s="37">
        <v>-12000</v>
      </c>
      <c r="D40" s="25"/>
      <c r="E40" s="5"/>
      <c r="F40" s="26"/>
      <c r="G40" s="25"/>
      <c r="H40" s="5"/>
      <c r="I40" s="26"/>
      <c r="J40" s="4"/>
      <c r="K40" s="5"/>
      <c r="L40" s="26"/>
      <c r="M40" s="4"/>
      <c r="N40" s="5"/>
      <c r="O40" s="26"/>
      <c r="P40" s="36"/>
      <c r="Q40" s="8"/>
      <c r="R40" s="6"/>
      <c r="S40" s="8"/>
      <c r="T40" s="8"/>
      <c r="U40" s="63"/>
      <c r="V40" s="4"/>
      <c r="W40" s="8"/>
      <c r="X40" s="36"/>
      <c r="Y40" s="4"/>
      <c r="Z40" s="4"/>
      <c r="AA40" s="4"/>
      <c r="AB40" s="4"/>
      <c r="AC40" s="4"/>
      <c r="AD40" s="4"/>
      <c r="AE40" s="4"/>
      <c r="AF40" s="4"/>
    </row>
    <row r="41" spans="1:32" ht="12.75">
      <c r="A41" s="27"/>
      <c r="B41" s="28"/>
      <c r="C41" s="37"/>
      <c r="D41" s="25"/>
      <c r="E41" s="38"/>
      <c r="F41" s="52"/>
      <c r="G41" s="53"/>
      <c r="H41" s="38"/>
      <c r="I41" s="52"/>
      <c r="J41" s="21"/>
      <c r="K41" s="38"/>
      <c r="L41" s="52"/>
      <c r="M41" s="21"/>
      <c r="N41" s="38"/>
      <c r="O41" s="52"/>
      <c r="P41" s="52"/>
      <c r="Q41" s="53"/>
      <c r="R41" s="91"/>
      <c r="S41" s="53"/>
      <c r="T41" s="38"/>
      <c r="U41" s="52"/>
      <c r="V41" s="4"/>
      <c r="W41" s="8"/>
      <c r="X41" s="36"/>
      <c r="Y41" s="4"/>
      <c r="Z41" s="4"/>
      <c r="AA41" s="4"/>
      <c r="AB41" s="4"/>
      <c r="AC41" s="4"/>
      <c r="AD41" s="4"/>
      <c r="AE41" s="4"/>
      <c r="AF41" s="4"/>
    </row>
    <row r="42" spans="1:32" ht="12.75">
      <c r="A42" s="27" t="s">
        <v>188</v>
      </c>
      <c r="B42" s="28">
        <v>37985</v>
      </c>
      <c r="C42" s="5">
        <f>C63</f>
        <v>-5562.5</v>
      </c>
      <c r="D42" s="25" t="s">
        <v>60</v>
      </c>
      <c r="E42" s="5"/>
      <c r="F42" s="36"/>
      <c r="G42" s="8"/>
      <c r="H42" s="5"/>
      <c r="I42" s="36"/>
      <c r="J42" s="33"/>
      <c r="K42" s="5"/>
      <c r="L42" s="36"/>
      <c r="M42" s="4"/>
      <c r="N42" s="5"/>
      <c r="O42" s="36"/>
      <c r="P42" s="4"/>
      <c r="Q42" s="5">
        <f>C63</f>
        <v>-5562.5</v>
      </c>
      <c r="R42" s="36"/>
      <c r="S42" s="4"/>
      <c r="T42" s="5"/>
      <c r="U42" s="36">
        <f>C63</f>
        <v>-5562.5</v>
      </c>
      <c r="V42" s="4"/>
      <c r="W42" s="8"/>
      <c r="X42" s="36"/>
      <c r="Y42" s="4"/>
      <c r="Z42" s="4"/>
      <c r="AA42" s="4"/>
      <c r="AB42" s="4"/>
      <c r="AC42" s="4"/>
      <c r="AD42" s="4"/>
      <c r="AE42" s="4"/>
      <c r="AF42" s="4"/>
    </row>
    <row r="43" spans="1:32" ht="13.5" thickBot="1">
      <c r="A43" s="29" t="s">
        <v>173</v>
      </c>
      <c r="B43" s="30">
        <v>37985</v>
      </c>
      <c r="C43" s="38">
        <f>+C19+C26+C28+C30-C32+C37+C38+C39</f>
        <v>252000</v>
      </c>
      <c r="D43" s="25"/>
      <c r="E43" s="54">
        <v>405000</v>
      </c>
      <c r="F43" s="55"/>
      <c r="G43" s="56"/>
      <c r="H43" s="54"/>
      <c r="I43" s="55">
        <v>153000</v>
      </c>
      <c r="J43" s="57"/>
      <c r="K43" s="54">
        <v>47000</v>
      </c>
      <c r="L43" s="55"/>
      <c r="M43" s="56"/>
      <c r="N43" s="56">
        <v>12000</v>
      </c>
      <c r="O43" s="66"/>
      <c r="P43" s="56"/>
      <c r="Q43" s="90">
        <f>Q42</f>
        <v>-5562.5</v>
      </c>
      <c r="R43" s="66"/>
      <c r="S43" s="56"/>
      <c r="T43" s="55"/>
      <c r="U43" s="66">
        <f>U22+U42</f>
        <v>11687.5</v>
      </c>
      <c r="V43" s="4"/>
      <c r="W43" s="8"/>
      <c r="X43" s="36"/>
      <c r="Y43" s="4"/>
      <c r="Z43" s="4"/>
      <c r="AA43" s="4"/>
      <c r="AB43" s="4"/>
      <c r="AC43" s="4"/>
      <c r="AD43" s="4"/>
      <c r="AE43" s="4"/>
      <c r="AF43" s="4"/>
    </row>
    <row r="44" spans="1:32" ht="13.5" thickTop="1">
      <c r="A44" s="4"/>
      <c r="B44" s="9"/>
      <c r="C44" s="4"/>
      <c r="D44" s="4"/>
      <c r="E44" s="8"/>
      <c r="F44" s="36"/>
      <c r="G44" s="8"/>
      <c r="H44" s="8"/>
      <c r="I44" s="36"/>
      <c r="J44" s="36"/>
      <c r="K44" s="8"/>
      <c r="L44" s="36"/>
      <c r="M44" s="33"/>
      <c r="N44" s="33"/>
      <c r="O44" s="33"/>
      <c r="P44" s="33"/>
      <c r="Q44" s="8"/>
      <c r="R44" s="8"/>
      <c r="S44" s="8"/>
      <c r="T44" s="8"/>
      <c r="U44" s="36"/>
      <c r="V44" s="33"/>
      <c r="W44" s="33"/>
      <c r="X44" s="33"/>
      <c r="Y44" s="4"/>
      <c r="Z44" s="4"/>
      <c r="AA44" s="4"/>
      <c r="AB44" s="4"/>
      <c r="AC44" s="4"/>
      <c r="AD44" s="4"/>
      <c r="AE44" s="4"/>
      <c r="AF44" s="4"/>
    </row>
    <row r="45" spans="1:32" ht="12.75">
      <c r="A45" s="4"/>
      <c r="C45" s="4"/>
      <c r="D45" s="4"/>
      <c r="E45" s="33"/>
      <c r="F45" s="33"/>
      <c r="G45" s="8"/>
      <c r="H45" s="8"/>
      <c r="I45" s="8"/>
      <c r="J45" s="36"/>
      <c r="K45" s="33"/>
      <c r="L45" s="33"/>
      <c r="M45" s="33"/>
      <c r="N45" s="33"/>
      <c r="O45" s="33"/>
      <c r="P45" s="33"/>
      <c r="Q45" s="8"/>
      <c r="R45" s="8"/>
      <c r="S45" s="8"/>
      <c r="T45" s="8"/>
      <c r="U45" s="36"/>
      <c r="V45" s="33"/>
      <c r="W45" s="33"/>
      <c r="X45" s="33"/>
      <c r="Y45" s="4"/>
      <c r="Z45" s="4"/>
      <c r="AA45" s="4"/>
      <c r="AB45" s="4"/>
      <c r="AC45" s="4"/>
      <c r="AD45" s="4"/>
      <c r="AE45" s="4"/>
      <c r="AF45" s="4"/>
    </row>
    <row r="46" spans="1:32" ht="12.75">
      <c r="A46" s="4" t="s">
        <v>325</v>
      </c>
      <c r="B46" s="4"/>
      <c r="C46" s="4"/>
      <c r="D46" s="4"/>
      <c r="E46" s="33"/>
      <c r="F46" s="33"/>
      <c r="G46" s="8"/>
      <c r="H46" s="8"/>
      <c r="I46" s="8"/>
      <c r="J46" s="36"/>
      <c r="K46" s="33"/>
      <c r="L46" s="33"/>
      <c r="M46" s="33"/>
      <c r="N46" s="33"/>
      <c r="O46" s="33"/>
      <c r="P46" s="33"/>
      <c r="Q46" s="8"/>
      <c r="R46" s="8"/>
      <c r="S46" s="8"/>
      <c r="T46" s="8"/>
      <c r="U46" s="36"/>
      <c r="V46" s="33"/>
      <c r="W46" s="33"/>
      <c r="X46" s="33"/>
      <c r="Y46" s="4"/>
      <c r="Z46" s="4"/>
      <c r="AA46" s="4"/>
      <c r="AB46" s="4"/>
      <c r="AC46" s="4"/>
      <c r="AD46" s="4"/>
      <c r="AE46" s="4"/>
      <c r="AF46" s="4"/>
    </row>
    <row r="47" spans="1:32" ht="12.75">
      <c r="A47" s="4"/>
      <c r="B47" s="4"/>
      <c r="C47" s="4"/>
      <c r="D47" s="4"/>
      <c r="E47" s="33"/>
      <c r="F47" s="33"/>
      <c r="G47" s="8"/>
      <c r="H47" s="8"/>
      <c r="I47" s="8"/>
      <c r="J47" s="36"/>
      <c r="K47" s="33"/>
      <c r="L47" s="33"/>
      <c r="M47" s="33"/>
      <c r="N47" s="33"/>
      <c r="O47" s="33"/>
      <c r="P47" s="33"/>
      <c r="Q47" s="8"/>
      <c r="R47" s="36"/>
      <c r="S47" s="8"/>
      <c r="T47" s="8"/>
      <c r="U47" s="36"/>
      <c r="V47" s="33"/>
      <c r="W47" s="33"/>
      <c r="X47" s="33"/>
      <c r="Y47" s="4"/>
      <c r="Z47" s="4"/>
      <c r="AA47" s="4"/>
      <c r="AB47" s="4"/>
      <c r="AC47" s="4"/>
      <c r="AD47" s="4"/>
      <c r="AE47" s="4"/>
      <c r="AF47" s="4"/>
    </row>
    <row r="48" spans="1:32" ht="12.75">
      <c r="A48" s="4" t="s">
        <v>179</v>
      </c>
      <c r="B48" s="4"/>
      <c r="C48" s="4"/>
      <c r="D48" s="4"/>
      <c r="E48" s="33"/>
      <c r="F48" s="33"/>
      <c r="G48" s="8"/>
      <c r="H48" s="8"/>
      <c r="I48" s="8"/>
      <c r="J48" s="36"/>
      <c r="K48" s="33"/>
      <c r="L48" s="33"/>
      <c r="M48" s="33"/>
      <c r="N48" s="33"/>
      <c r="O48" s="33"/>
      <c r="P48" s="33"/>
      <c r="Q48" s="8"/>
      <c r="R48" s="36"/>
      <c r="S48" s="8"/>
      <c r="T48" s="8"/>
      <c r="U48" s="36"/>
      <c r="V48" s="33"/>
      <c r="W48" s="33"/>
      <c r="X48" s="33"/>
      <c r="Y48" s="4"/>
      <c r="Z48" s="4"/>
      <c r="AA48" s="4"/>
      <c r="AB48" s="4"/>
      <c r="AC48" s="4"/>
      <c r="AD48" s="4"/>
      <c r="AE48" s="4"/>
      <c r="AF48" s="4"/>
    </row>
    <row r="49" spans="1:32" ht="12.75">
      <c r="A49" s="4" t="s">
        <v>180</v>
      </c>
      <c r="B49" s="4"/>
      <c r="C49" s="25">
        <v>165000</v>
      </c>
      <c r="D49" s="4"/>
      <c r="E49" s="33"/>
      <c r="F49" s="33"/>
      <c r="G49" s="8"/>
      <c r="H49" s="8"/>
      <c r="I49" s="8"/>
      <c r="J49" s="36"/>
      <c r="K49" s="33"/>
      <c r="L49" s="33"/>
      <c r="M49" s="33"/>
      <c r="N49" s="33"/>
      <c r="O49" s="33"/>
      <c r="P49" s="33"/>
      <c r="Q49" s="8"/>
      <c r="R49" s="8"/>
      <c r="S49" s="8"/>
      <c r="T49" s="8"/>
      <c r="U49" s="36"/>
      <c r="V49" s="33"/>
      <c r="W49" s="33"/>
      <c r="X49" s="33"/>
      <c r="Y49" s="4"/>
      <c r="Z49" s="4"/>
      <c r="AA49" s="4"/>
      <c r="AB49" s="4"/>
      <c r="AC49" s="4"/>
      <c r="AD49" s="4"/>
      <c r="AE49" s="4"/>
      <c r="AF49" s="4"/>
    </row>
    <row r="50" spans="1:32" ht="12.75">
      <c r="A50" s="4"/>
      <c r="C50" s="25"/>
      <c r="D50" s="4"/>
      <c r="E50" s="8"/>
      <c r="F50" s="8"/>
      <c r="G50" s="8"/>
      <c r="H50" s="8"/>
      <c r="I50" s="8"/>
      <c r="J50" s="36"/>
      <c r="K50" s="33"/>
      <c r="L50" s="33"/>
      <c r="M50" s="33"/>
      <c r="N50" s="8"/>
      <c r="O50" s="33"/>
      <c r="P50" s="33"/>
      <c r="Q50" s="8"/>
      <c r="R50" s="8"/>
      <c r="S50" s="8"/>
      <c r="T50" s="8"/>
      <c r="U50" s="36"/>
      <c r="V50" s="33"/>
      <c r="W50" s="33"/>
      <c r="X50" s="8"/>
      <c r="Y50" s="4"/>
      <c r="Z50" s="4"/>
      <c r="AA50" s="4"/>
      <c r="AB50" s="4"/>
      <c r="AC50" s="4"/>
      <c r="AD50" s="4"/>
      <c r="AE50" s="4"/>
      <c r="AF50" s="4"/>
    </row>
    <row r="51" spans="1:32" ht="12.75">
      <c r="A51" s="4" t="s">
        <v>191</v>
      </c>
      <c r="B51" s="4"/>
      <c r="C51" s="25">
        <f>0.25*C49</f>
        <v>41250</v>
      </c>
      <c r="D51" s="4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8"/>
      <c r="R51" s="8"/>
      <c r="S51" s="8"/>
      <c r="T51" s="8"/>
      <c r="U51" s="36"/>
      <c r="V51" s="33"/>
      <c r="W51" s="33"/>
      <c r="X51" s="33"/>
      <c r="Y51" s="4"/>
      <c r="Z51" s="4"/>
      <c r="AA51" s="4"/>
      <c r="AB51" s="4"/>
      <c r="AC51" s="4"/>
      <c r="AD51" s="4"/>
      <c r="AE51" s="4"/>
      <c r="AF51" s="4"/>
    </row>
    <row r="52" spans="1:32" ht="12.75">
      <c r="A52" s="4" t="s">
        <v>19</v>
      </c>
      <c r="B52" s="4"/>
      <c r="C52" s="25">
        <v>-24000</v>
      </c>
      <c r="D52" s="4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8"/>
      <c r="R52" s="8"/>
      <c r="S52" s="8"/>
      <c r="T52" s="8"/>
      <c r="U52" s="36"/>
      <c r="V52" s="33"/>
      <c r="W52" s="33"/>
      <c r="X52" s="33"/>
      <c r="Y52" s="4"/>
      <c r="Z52" s="4"/>
      <c r="AA52" s="4"/>
      <c r="AB52" s="4"/>
      <c r="AC52" s="4"/>
      <c r="AD52" s="4"/>
      <c r="AE52" s="4"/>
      <c r="AF52" s="4"/>
    </row>
    <row r="53" spans="1:32" ht="12.75">
      <c r="A53" s="4" t="s">
        <v>188</v>
      </c>
      <c r="B53" s="28">
        <v>37620</v>
      </c>
      <c r="C53" s="25">
        <v>17250</v>
      </c>
      <c r="D53" s="4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8"/>
      <c r="R53" s="8"/>
      <c r="S53" s="8"/>
      <c r="T53" s="8"/>
      <c r="U53" s="36"/>
      <c r="V53" s="33"/>
      <c r="W53" s="33"/>
      <c r="X53" s="33"/>
      <c r="Y53" s="4"/>
      <c r="Z53" s="4"/>
      <c r="AA53" s="4"/>
      <c r="AB53" s="4"/>
      <c r="AC53" s="4"/>
      <c r="AD53" s="4"/>
      <c r="AE53" s="4"/>
      <c r="AF53" s="4"/>
    </row>
    <row r="54" spans="1:32" ht="12.75">
      <c r="A54" s="4"/>
      <c r="B54" s="4"/>
      <c r="C54" s="25"/>
      <c r="D54" s="4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8"/>
      <c r="R54" s="8"/>
      <c r="S54" s="8"/>
      <c r="T54" s="8"/>
      <c r="U54" s="36"/>
      <c r="V54" s="33"/>
      <c r="W54" s="33"/>
      <c r="X54" s="33"/>
      <c r="Y54" s="4"/>
      <c r="Z54" s="4"/>
      <c r="AA54" s="4"/>
      <c r="AB54" s="4"/>
      <c r="AC54" s="4"/>
      <c r="AD54" s="4"/>
      <c r="AE54" s="4"/>
      <c r="AF54" s="4"/>
    </row>
    <row r="55" spans="1:21" ht="12.75">
      <c r="A55" s="4" t="s">
        <v>60</v>
      </c>
      <c r="C55" s="51"/>
      <c r="Q55" s="8"/>
      <c r="R55" s="8"/>
      <c r="S55" s="8"/>
      <c r="T55" s="8"/>
      <c r="U55" s="36"/>
    </row>
    <row r="56" spans="1:21" ht="12.75">
      <c r="A56" s="4" t="s">
        <v>180</v>
      </c>
      <c r="C56" s="25">
        <f>C49-C51+C28</f>
        <v>273750</v>
      </c>
      <c r="Q56" s="8"/>
      <c r="R56" s="8"/>
      <c r="S56" s="8"/>
      <c r="T56" s="8"/>
      <c r="U56" s="8"/>
    </row>
    <row r="57" spans="1:21" ht="12.75">
      <c r="A57" s="4" t="s">
        <v>290</v>
      </c>
      <c r="C57" s="25">
        <f>C33</f>
        <v>60000</v>
      </c>
      <c r="Q57" s="8"/>
      <c r="R57" s="8"/>
      <c r="S57" s="8"/>
      <c r="T57" s="8"/>
      <c r="U57" s="8"/>
    </row>
    <row r="58" spans="1:21" ht="12.75">
      <c r="A58" s="4" t="s">
        <v>191</v>
      </c>
      <c r="C58" s="25">
        <f>(C56-C57)*25%</f>
        <v>53437.5</v>
      </c>
      <c r="Q58" s="8"/>
      <c r="R58" s="36"/>
      <c r="S58" s="8"/>
      <c r="T58" s="8"/>
      <c r="U58" s="8"/>
    </row>
    <row r="59" spans="1:21" ht="12.75">
      <c r="A59" s="4" t="s">
        <v>19</v>
      </c>
      <c r="C59" s="50">
        <f>K37+K30+K38+K39</f>
        <v>47000</v>
      </c>
      <c r="Q59" s="8"/>
      <c r="R59" s="8"/>
      <c r="S59" s="8"/>
      <c r="T59" s="8"/>
      <c r="U59" s="8"/>
    </row>
    <row r="60" spans="1:21" ht="12.75">
      <c r="A60" s="4" t="s">
        <v>188</v>
      </c>
      <c r="B60" s="28">
        <v>37985</v>
      </c>
      <c r="C60" s="25">
        <f>C58-C59</f>
        <v>6437.5</v>
      </c>
      <c r="Q60" s="8"/>
      <c r="R60" s="8"/>
      <c r="S60" s="8"/>
      <c r="T60" s="8"/>
      <c r="U60" s="8"/>
    </row>
    <row r="61" spans="1:21" ht="12.75">
      <c r="A61" s="4"/>
      <c r="B61" s="76"/>
      <c r="C61" s="25"/>
      <c r="Q61" s="8"/>
      <c r="R61" s="8"/>
      <c r="S61" s="8"/>
      <c r="T61" s="8"/>
      <c r="U61" s="8"/>
    </row>
    <row r="62" spans="1:21" ht="12.75">
      <c r="A62" s="4" t="s">
        <v>394</v>
      </c>
      <c r="C62" s="50">
        <f>C40</f>
        <v>-12000</v>
      </c>
      <c r="Q62" s="8"/>
      <c r="R62" s="36"/>
      <c r="S62" s="8"/>
      <c r="T62" s="8"/>
      <c r="U62" s="36"/>
    </row>
    <row r="63" spans="1:21" ht="12.75">
      <c r="A63" s="4" t="s">
        <v>291</v>
      </c>
      <c r="C63" s="25">
        <f>C60+C62</f>
        <v>-5562.5</v>
      </c>
      <c r="Q63" s="8"/>
      <c r="R63" s="36"/>
      <c r="S63" s="8"/>
      <c r="T63" s="8"/>
      <c r="U63" s="36"/>
    </row>
    <row r="64" spans="1:21" ht="12.75">
      <c r="A64" s="17" t="s">
        <v>406</v>
      </c>
      <c r="Q64" s="8"/>
      <c r="R64" s="36"/>
      <c r="S64" s="8"/>
      <c r="T64" s="8"/>
      <c r="U64" s="36"/>
    </row>
    <row r="65" spans="1:21" ht="12.75">
      <c r="A65" s="4" t="s">
        <v>407</v>
      </c>
      <c r="Q65" s="8"/>
      <c r="R65" s="36"/>
      <c r="S65" s="8"/>
      <c r="T65" s="8"/>
      <c r="U65" s="36"/>
    </row>
    <row r="66" spans="1:21" ht="12.75">
      <c r="A66" s="4"/>
      <c r="Q66" s="8"/>
      <c r="R66" s="36"/>
      <c r="S66" s="8"/>
      <c r="T66" s="8"/>
      <c r="U66" s="36"/>
    </row>
    <row r="67" spans="17:21" ht="12.75">
      <c r="Q67" s="8"/>
      <c r="R67" s="36"/>
      <c r="S67" s="8"/>
      <c r="T67" s="8"/>
      <c r="U67" s="36"/>
    </row>
    <row r="68" spans="17:21" ht="12.75">
      <c r="Q68" s="8"/>
      <c r="R68" s="36"/>
      <c r="S68" s="8"/>
      <c r="T68" s="8"/>
      <c r="U68" s="36"/>
    </row>
    <row r="69" spans="17:21" ht="12.75">
      <c r="Q69" s="8"/>
      <c r="R69" s="36"/>
      <c r="S69" s="8"/>
      <c r="T69" s="8"/>
      <c r="U69" s="36"/>
    </row>
    <row r="70" spans="17:21" ht="12.75">
      <c r="Q70" s="8"/>
      <c r="R70" s="36"/>
      <c r="S70" s="8"/>
      <c r="T70" s="8"/>
      <c r="U70" s="36"/>
    </row>
    <row r="71" spans="17:21" ht="12.75">
      <c r="Q71" s="8"/>
      <c r="R71" s="36"/>
      <c r="S71" s="8"/>
      <c r="T71" s="8"/>
      <c r="U71" s="36"/>
    </row>
    <row r="72" spans="17:21" ht="12.75">
      <c r="Q72" s="8"/>
      <c r="R72" s="36"/>
      <c r="S72" s="8"/>
      <c r="T72" s="8"/>
      <c r="U72" s="36"/>
    </row>
    <row r="73" spans="17:21" ht="12.75">
      <c r="Q73" s="8"/>
      <c r="R73" s="36"/>
      <c r="S73" s="8"/>
      <c r="T73" s="8"/>
      <c r="U73" s="36"/>
    </row>
    <row r="74" spans="17:21" ht="12.75">
      <c r="Q74" s="8"/>
      <c r="R74" s="36"/>
      <c r="S74" s="8"/>
      <c r="T74" s="8"/>
      <c r="U74" s="36"/>
    </row>
    <row r="75" spans="17:21" ht="12.75">
      <c r="Q75" s="8"/>
      <c r="R75" s="36"/>
      <c r="S75" s="8"/>
      <c r="T75" s="8"/>
      <c r="U75" s="36"/>
    </row>
    <row r="76" spans="17:21" ht="12.75">
      <c r="Q76" s="8"/>
      <c r="R76" s="36"/>
      <c r="S76" s="8"/>
      <c r="T76" s="8"/>
      <c r="U76" s="36"/>
    </row>
    <row r="77" spans="17:21" ht="12.75">
      <c r="Q77" s="25"/>
      <c r="R77" s="25"/>
      <c r="S77" s="25"/>
      <c r="T77" s="25"/>
      <c r="U77" s="25"/>
    </row>
    <row r="78" spans="17:21" ht="12.75">
      <c r="Q78" s="25"/>
      <c r="R78" s="25"/>
      <c r="S78" s="25"/>
      <c r="T78" s="25"/>
      <c r="U78" s="25"/>
    </row>
    <row r="79" spans="17:21" ht="12.75">
      <c r="Q79" s="25"/>
      <c r="R79" s="25"/>
      <c r="S79" s="25"/>
      <c r="T79" s="25"/>
      <c r="U79" s="25"/>
    </row>
    <row r="80" spans="17:21" ht="12.75">
      <c r="Q80" s="25"/>
      <c r="R80" s="25"/>
      <c r="S80" s="25"/>
      <c r="T80" s="25"/>
      <c r="U80" s="25"/>
    </row>
    <row r="81" spans="17:21" ht="12.75">
      <c r="Q81" s="25"/>
      <c r="R81" s="25"/>
      <c r="S81" s="25"/>
      <c r="T81" s="25"/>
      <c r="U81" s="25"/>
    </row>
    <row r="82" spans="17:21" ht="12.75">
      <c r="Q82" s="25"/>
      <c r="R82" s="25"/>
      <c r="S82" s="25"/>
      <c r="T82" s="25"/>
      <c r="U82" s="25"/>
    </row>
    <row r="83" spans="17:21" ht="12.75">
      <c r="Q83" s="25"/>
      <c r="R83" s="25"/>
      <c r="S83" s="25"/>
      <c r="T83" s="25"/>
      <c r="U83" s="25"/>
    </row>
    <row r="84" spans="17:21" ht="12.75">
      <c r="Q84" s="25"/>
      <c r="R84" s="25"/>
      <c r="S84" s="25"/>
      <c r="T84" s="25"/>
      <c r="U84" s="25"/>
    </row>
    <row r="85" spans="17:21" ht="12.75">
      <c r="Q85" s="4"/>
      <c r="R85" s="4"/>
      <c r="S85" s="4"/>
      <c r="T85" s="4"/>
      <c r="U85" s="4"/>
    </row>
    <row r="86" spans="17:21" ht="12.75">
      <c r="Q86" s="4"/>
      <c r="R86" s="4"/>
      <c r="S86" s="4"/>
      <c r="T86" s="4"/>
      <c r="U86" s="4"/>
    </row>
    <row r="87" spans="17:21" ht="12.75">
      <c r="Q87" s="4"/>
      <c r="R87" s="4"/>
      <c r="S87" s="4"/>
      <c r="T87" s="4"/>
      <c r="U87" s="4"/>
    </row>
    <row r="88" spans="17:21" ht="12.75">
      <c r="Q88" s="4"/>
      <c r="R88" s="4"/>
      <c r="S88" s="4"/>
      <c r="T88" s="4"/>
      <c r="U88" s="4"/>
    </row>
    <row r="89" spans="17:21" ht="12.75">
      <c r="Q89" s="4"/>
      <c r="R89" s="4"/>
      <c r="S89" s="4"/>
      <c r="T89" s="4"/>
      <c r="U89" s="4"/>
    </row>
    <row r="90" spans="17:21" ht="12.75">
      <c r="Q90" s="4"/>
      <c r="R90" s="4"/>
      <c r="S90" s="4"/>
      <c r="T90" s="4"/>
      <c r="U90" s="4"/>
    </row>
    <row r="91" spans="17:21" ht="12.75">
      <c r="Q91" s="4"/>
      <c r="R91" s="4"/>
      <c r="S91" s="4"/>
      <c r="T91" s="4"/>
      <c r="U91" s="4"/>
    </row>
    <row r="92" spans="17:21" ht="12.75">
      <c r="Q92" s="4"/>
      <c r="R92" s="4"/>
      <c r="S92" s="4"/>
      <c r="T92" s="4"/>
      <c r="U92" s="4"/>
    </row>
    <row r="93" spans="17:21" ht="12.75">
      <c r="Q93" s="4"/>
      <c r="R93" s="4"/>
      <c r="S93" s="4"/>
      <c r="T93" s="4"/>
      <c r="U93" s="4"/>
    </row>
  </sheetData>
  <mergeCells count="8">
    <mergeCell ref="T9:U9"/>
    <mergeCell ref="T10:U10"/>
    <mergeCell ref="Q9:R9"/>
    <mergeCell ref="Q10:R10"/>
    <mergeCell ref="K9:L9"/>
    <mergeCell ref="K10:L10"/>
    <mergeCell ref="N9:O9"/>
    <mergeCell ref="N10:O10"/>
  </mergeCells>
  <printOptions/>
  <pageMargins left="0.26" right="0.23" top="1" bottom="1" header="0.5" footer="0.5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E24" sqref="E24"/>
    </sheetView>
  </sheetViews>
  <sheetFormatPr defaultColWidth="9.00390625" defaultRowHeight="12.75"/>
  <cols>
    <col min="1" max="1" width="2.75390625" style="0" customWidth="1"/>
    <col min="2" max="2" width="21.125" style="0" customWidth="1"/>
    <col min="3" max="3" width="10.875" style="0" customWidth="1"/>
    <col min="5" max="5" width="7.125" style="0" customWidth="1"/>
    <col min="8" max="8" width="2.00390625" style="0" customWidth="1"/>
  </cols>
  <sheetData>
    <row r="1" spans="1:13" ht="12.7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B2" s="62" t="s">
        <v>157</v>
      </c>
      <c r="C2" s="9"/>
      <c r="D2" s="4"/>
      <c r="E2" s="4"/>
      <c r="F2" s="4"/>
      <c r="G2" s="4"/>
      <c r="H2" s="4"/>
      <c r="I2" s="4"/>
      <c r="J2" s="4"/>
      <c r="K2" s="1"/>
      <c r="L2" s="1"/>
      <c r="M2" s="1"/>
    </row>
    <row r="3" spans="1:13" ht="12.75">
      <c r="A3" s="1"/>
      <c r="B3" s="4"/>
      <c r="C3" s="9"/>
      <c r="D3" s="4"/>
      <c r="E3" s="4"/>
      <c r="F3" s="4"/>
      <c r="G3" s="4"/>
      <c r="H3" s="4"/>
      <c r="I3" s="4"/>
      <c r="J3" s="4"/>
      <c r="K3" s="1"/>
      <c r="L3" s="1"/>
      <c r="M3" s="1"/>
    </row>
    <row r="4" spans="1:13" ht="12.75">
      <c r="A4" s="1"/>
      <c r="B4" s="16" t="s">
        <v>16</v>
      </c>
      <c r="C4" s="9"/>
      <c r="D4" s="4"/>
      <c r="E4" s="4"/>
      <c r="F4" s="4"/>
      <c r="G4" s="4"/>
      <c r="H4" s="4"/>
      <c r="I4" s="4"/>
      <c r="J4" s="4"/>
      <c r="K4" s="1"/>
      <c r="L4" s="1"/>
      <c r="M4" s="1"/>
    </row>
    <row r="5" spans="1:13" ht="12.75">
      <c r="A5" s="1"/>
      <c r="B5" s="4"/>
      <c r="C5" s="9"/>
      <c r="D5" s="4"/>
      <c r="E5" s="4"/>
      <c r="F5" s="4"/>
      <c r="G5" s="4"/>
      <c r="H5" s="4"/>
      <c r="I5" s="4"/>
      <c r="J5" s="4"/>
      <c r="K5" s="1"/>
      <c r="L5" s="1"/>
      <c r="M5" s="1"/>
    </row>
    <row r="6" spans="1:13" ht="12.75">
      <c r="A6" s="1"/>
      <c r="B6" s="20" t="s">
        <v>420</v>
      </c>
      <c r="C6" s="9"/>
      <c r="D6" s="4"/>
      <c r="E6" s="4"/>
      <c r="F6" s="4"/>
      <c r="G6" s="4"/>
      <c r="H6" s="4"/>
      <c r="I6" s="4"/>
      <c r="J6" s="4"/>
      <c r="K6" s="1"/>
      <c r="L6" s="1"/>
      <c r="M6" s="1"/>
    </row>
    <row r="7" spans="1:13" ht="12.75">
      <c r="A7" s="1"/>
      <c r="B7" s="65" t="s">
        <v>288</v>
      </c>
      <c r="C7" s="9"/>
      <c r="D7" s="4"/>
      <c r="E7" s="4"/>
      <c r="F7" s="4"/>
      <c r="G7" s="4"/>
      <c r="H7" s="4"/>
      <c r="I7" s="4"/>
      <c r="J7" s="4"/>
      <c r="K7" s="1"/>
      <c r="L7" s="1"/>
      <c r="M7" s="1"/>
    </row>
    <row r="8" spans="1:13" ht="12.75">
      <c r="A8" s="1"/>
      <c r="B8" s="65"/>
      <c r="C8" s="9"/>
      <c r="D8" s="4"/>
      <c r="E8" s="4"/>
      <c r="F8" s="4"/>
      <c r="G8" s="4"/>
      <c r="H8" s="4"/>
      <c r="I8" s="4"/>
      <c r="J8" s="4"/>
      <c r="K8" s="1"/>
      <c r="L8" s="1"/>
      <c r="M8" s="1"/>
    </row>
    <row r="9" spans="1:13" ht="12.75">
      <c r="A9" s="1"/>
      <c r="B9" s="10" t="s">
        <v>17</v>
      </c>
      <c r="C9" s="9"/>
      <c r="D9" s="4"/>
      <c r="E9" s="4"/>
      <c r="F9" s="4"/>
      <c r="G9" s="4"/>
      <c r="H9" s="4"/>
      <c r="I9" s="4"/>
      <c r="J9" s="4"/>
      <c r="K9" s="1"/>
      <c r="L9" s="1"/>
      <c r="M9" s="1"/>
    </row>
    <row r="10" spans="1:13" ht="12.75">
      <c r="A10" s="1"/>
      <c r="B10" s="4"/>
      <c r="C10" s="9"/>
      <c r="D10" s="4"/>
      <c r="E10" s="4"/>
      <c r="F10" s="4"/>
      <c r="G10" s="4"/>
      <c r="H10" s="4"/>
      <c r="I10" s="4"/>
      <c r="J10" s="4"/>
      <c r="K10" s="1"/>
      <c r="L10" s="1"/>
      <c r="M10" s="1"/>
    </row>
    <row r="11" spans="1:13" ht="12.75">
      <c r="A11" s="1"/>
      <c r="B11" s="4"/>
      <c r="C11" s="9"/>
      <c r="D11" s="4"/>
      <c r="E11" s="4"/>
      <c r="F11" s="21" t="s">
        <v>18</v>
      </c>
      <c r="G11" s="21"/>
      <c r="H11" s="4"/>
      <c r="I11" s="21" t="s">
        <v>19</v>
      </c>
      <c r="J11" s="21"/>
      <c r="K11" s="1"/>
      <c r="L11" s="1"/>
      <c r="M11" s="1"/>
    </row>
    <row r="12" spans="1:13" ht="12.75">
      <c r="A12" s="1"/>
      <c r="B12" s="22" t="s">
        <v>173</v>
      </c>
      <c r="C12" s="23">
        <v>37256</v>
      </c>
      <c r="D12" s="24">
        <v>15000</v>
      </c>
      <c r="E12" s="25"/>
      <c r="F12" s="5">
        <f>D12</f>
        <v>15000</v>
      </c>
      <c r="G12" s="26"/>
      <c r="H12" s="25"/>
      <c r="I12" s="5"/>
      <c r="J12" s="26"/>
      <c r="K12" s="3"/>
      <c r="L12" s="1"/>
      <c r="M12" s="1"/>
    </row>
    <row r="13" spans="1:13" ht="12.75">
      <c r="A13" s="1"/>
      <c r="B13" s="27"/>
      <c r="C13" s="28"/>
      <c r="D13" s="5"/>
      <c r="E13" s="25"/>
      <c r="F13" s="5"/>
      <c r="G13" s="26"/>
      <c r="H13" s="25"/>
      <c r="I13" s="5"/>
      <c r="J13" s="26"/>
      <c r="K13" s="3"/>
      <c r="L13" s="1"/>
      <c r="M13" s="1"/>
    </row>
    <row r="14" spans="1:13" ht="12.75">
      <c r="A14" s="1"/>
      <c r="B14" s="27" t="s">
        <v>20</v>
      </c>
      <c r="C14" s="28">
        <v>37437</v>
      </c>
      <c r="D14" s="5">
        <v>20000</v>
      </c>
      <c r="E14" s="25"/>
      <c r="F14" s="5">
        <f>D14</f>
        <v>20000</v>
      </c>
      <c r="G14" s="26"/>
      <c r="H14" s="25"/>
      <c r="I14" s="5"/>
      <c r="J14" s="26"/>
      <c r="K14" s="3"/>
      <c r="L14" s="1"/>
      <c r="M14" s="1"/>
    </row>
    <row r="15" spans="1:13" ht="12.75">
      <c r="A15" s="1"/>
      <c r="B15" s="27"/>
      <c r="C15" s="28"/>
      <c r="D15" s="5"/>
      <c r="E15" s="25"/>
      <c r="F15" s="5"/>
      <c r="G15" s="26"/>
      <c r="H15" s="25"/>
      <c r="I15" s="5"/>
      <c r="J15" s="26"/>
      <c r="K15" s="3"/>
      <c r="L15" s="1"/>
      <c r="M15" s="1"/>
    </row>
    <row r="16" spans="1:13" ht="12.75">
      <c r="A16" s="1"/>
      <c r="B16" s="27"/>
      <c r="C16" s="28">
        <v>37620</v>
      </c>
      <c r="D16" s="5">
        <f>F12+F14</f>
        <v>35000</v>
      </c>
      <c r="E16" s="25"/>
      <c r="F16" s="5"/>
      <c r="G16" s="26"/>
      <c r="H16" s="25"/>
      <c r="I16" s="5"/>
      <c r="J16" s="26"/>
      <c r="K16" s="3"/>
      <c r="L16" s="1"/>
      <c r="M16" s="1"/>
    </row>
    <row r="17" spans="1:13" ht="12.75">
      <c r="A17" s="1"/>
      <c r="B17" s="27" t="s">
        <v>177</v>
      </c>
      <c r="C17" s="28"/>
      <c r="D17" s="5">
        <f>-0.25*D16</f>
        <v>-8750</v>
      </c>
      <c r="E17" s="25"/>
      <c r="F17" s="38"/>
      <c r="G17" s="52">
        <f>-D17</f>
        <v>8750</v>
      </c>
      <c r="H17" s="8"/>
      <c r="I17" s="38">
        <f>+G17</f>
        <v>8750</v>
      </c>
      <c r="J17" s="52"/>
      <c r="K17" s="3"/>
      <c r="L17" s="1"/>
      <c r="M17" s="1"/>
    </row>
    <row r="18" spans="1:13" ht="13.5" thickBot="1">
      <c r="A18" s="1"/>
      <c r="B18" s="27" t="s">
        <v>173</v>
      </c>
      <c r="C18" s="28">
        <v>37620</v>
      </c>
      <c r="D18" s="24">
        <f>SUM(D16:D17)</f>
        <v>26250</v>
      </c>
      <c r="E18" s="25"/>
      <c r="F18" s="54">
        <f>+F12+F14-G17</f>
        <v>26250</v>
      </c>
      <c r="G18" s="55"/>
      <c r="H18" s="8"/>
      <c r="I18" s="54">
        <f>SUM(I17)</f>
        <v>8750</v>
      </c>
      <c r="J18" s="55"/>
      <c r="K18" s="3"/>
      <c r="L18" s="1"/>
      <c r="M18" s="1"/>
    </row>
    <row r="19" spans="1:13" ht="13.5" thickTop="1">
      <c r="A19" s="1"/>
      <c r="B19" s="27"/>
      <c r="C19" s="28"/>
      <c r="D19" s="5"/>
      <c r="E19" s="25"/>
      <c r="F19" s="5"/>
      <c r="G19" s="26"/>
      <c r="H19" s="8"/>
      <c r="I19" s="5"/>
      <c r="J19" s="26"/>
      <c r="K19" s="3"/>
      <c r="L19" s="1"/>
      <c r="M19" s="1"/>
    </row>
    <row r="20" spans="1:13" ht="12.75">
      <c r="A20" s="1"/>
      <c r="B20" s="27" t="s">
        <v>173</v>
      </c>
      <c r="C20" s="28">
        <v>37621</v>
      </c>
      <c r="D20" s="5"/>
      <c r="E20" s="25"/>
      <c r="F20" s="5">
        <f>F18</f>
        <v>26250</v>
      </c>
      <c r="G20" s="26"/>
      <c r="H20" s="8"/>
      <c r="I20" s="5"/>
      <c r="J20" s="26"/>
      <c r="K20" s="3"/>
      <c r="L20" s="1"/>
      <c r="M20" s="1"/>
    </row>
    <row r="21" spans="1:13" ht="12.75">
      <c r="A21" s="1"/>
      <c r="B21" s="27" t="s">
        <v>21</v>
      </c>
      <c r="C21" s="28">
        <v>37725</v>
      </c>
      <c r="D21" s="5">
        <v>18000</v>
      </c>
      <c r="E21" s="25"/>
      <c r="F21" s="5">
        <f>D21</f>
        <v>18000</v>
      </c>
      <c r="G21" s="26"/>
      <c r="H21" s="8"/>
      <c r="I21" s="5"/>
      <c r="J21" s="26"/>
      <c r="K21" s="3"/>
      <c r="L21" s="1"/>
      <c r="M21" s="1"/>
    </row>
    <row r="22" spans="1:13" ht="12.75">
      <c r="A22" s="1"/>
      <c r="B22" s="27"/>
      <c r="C22" s="28"/>
      <c r="D22" s="5"/>
      <c r="E22" s="25"/>
      <c r="F22" s="5"/>
      <c r="G22" s="26"/>
      <c r="H22" s="8"/>
      <c r="I22" s="5"/>
      <c r="J22" s="26"/>
      <c r="K22" s="3"/>
      <c r="L22" s="1"/>
      <c r="M22" s="1"/>
    </row>
    <row r="23" spans="1:13" ht="12.75">
      <c r="A23" s="1"/>
      <c r="B23" s="27"/>
      <c r="C23" s="28">
        <f>C16+365</f>
        <v>37985</v>
      </c>
      <c r="D23" s="5">
        <f>D18+F21</f>
        <v>44250</v>
      </c>
      <c r="E23" s="25"/>
      <c r="F23" s="5"/>
      <c r="G23" s="26"/>
      <c r="H23" s="8"/>
      <c r="I23" s="5"/>
      <c r="J23" s="26"/>
      <c r="K23" s="3"/>
      <c r="L23" s="1"/>
      <c r="M23" s="1"/>
    </row>
    <row r="24" spans="1:13" ht="12.75">
      <c r="A24" s="1"/>
      <c r="B24" s="27" t="str">
        <f>B17</f>
        <v>Suunnitelmapoistot *)</v>
      </c>
      <c r="C24" s="28"/>
      <c r="D24" s="5">
        <f>-0.25*D23</f>
        <v>-11062.5</v>
      </c>
      <c r="E24" s="25"/>
      <c r="F24" s="38"/>
      <c r="G24" s="52">
        <f>-D24</f>
        <v>11062.5</v>
      </c>
      <c r="H24" s="8"/>
      <c r="I24" s="38">
        <f>+G24</f>
        <v>11062.5</v>
      </c>
      <c r="J24" s="52"/>
      <c r="K24" s="3"/>
      <c r="L24" s="1"/>
      <c r="M24" s="1"/>
    </row>
    <row r="25" spans="1:13" ht="13.5" thickBot="1">
      <c r="A25" s="1"/>
      <c r="B25" s="29" t="s">
        <v>173</v>
      </c>
      <c r="C25" s="30">
        <v>37985</v>
      </c>
      <c r="D25" s="31">
        <f>SUM(D23:D24)</f>
        <v>33187.5</v>
      </c>
      <c r="E25" s="25"/>
      <c r="F25" s="54">
        <f>+F18+F21-G24</f>
        <v>33187.5</v>
      </c>
      <c r="G25" s="59"/>
      <c r="H25" s="8"/>
      <c r="I25" s="54">
        <f>+I24</f>
        <v>11062.5</v>
      </c>
      <c r="J25" s="61"/>
      <c r="K25" s="3"/>
      <c r="L25" s="1"/>
      <c r="M25" s="1"/>
    </row>
    <row r="26" spans="1:13" ht="13.5" thickTop="1">
      <c r="A26" s="1"/>
      <c r="B26" s="4"/>
      <c r="C26" s="9"/>
      <c r="D26" s="25"/>
      <c r="E26" s="25"/>
      <c r="F26" s="25"/>
      <c r="G26" s="25"/>
      <c r="H26" s="8"/>
      <c r="I26" s="25"/>
      <c r="J26" s="26"/>
      <c r="K26" s="3"/>
      <c r="L26" s="1"/>
      <c r="M26" s="1"/>
    </row>
    <row r="27" spans="1:13" ht="12.75">
      <c r="A27" s="1"/>
      <c r="B27" s="4" t="s">
        <v>175</v>
      </c>
      <c r="C27" s="9"/>
      <c r="D27" s="25"/>
      <c r="E27" s="25"/>
      <c r="F27" s="25"/>
      <c r="G27" s="25"/>
      <c r="H27" s="8"/>
      <c r="I27" s="25"/>
      <c r="J27" s="26"/>
      <c r="K27" s="3"/>
      <c r="L27" s="1"/>
      <c r="M27" s="1"/>
    </row>
    <row r="28" spans="1:13" ht="12.75">
      <c r="A28" s="1"/>
      <c r="B28" s="4"/>
      <c r="C28" s="9"/>
      <c r="D28" s="25"/>
      <c r="E28" s="25"/>
      <c r="F28" s="25"/>
      <c r="G28" s="25"/>
      <c r="H28" s="25"/>
      <c r="I28" s="25"/>
      <c r="J28" s="26"/>
      <c r="K28" s="3"/>
      <c r="L28" s="1"/>
      <c r="M28" s="1"/>
    </row>
    <row r="29" spans="1:13" ht="12.75">
      <c r="A29" s="1"/>
      <c r="B29" s="10" t="s">
        <v>326</v>
      </c>
      <c r="C29" s="9"/>
      <c r="D29" s="25"/>
      <c r="E29" s="25"/>
      <c r="F29" s="25"/>
      <c r="G29" s="25"/>
      <c r="H29" s="25"/>
      <c r="I29" s="25"/>
      <c r="J29" s="26"/>
      <c r="K29" s="3"/>
      <c r="L29" s="1"/>
      <c r="M29" s="1"/>
    </row>
    <row r="30" spans="1:13" ht="12.75">
      <c r="A30" s="1"/>
      <c r="B30" s="4"/>
      <c r="C30" s="9"/>
      <c r="D30" s="25"/>
      <c r="E30" s="25"/>
      <c r="F30" s="25"/>
      <c r="G30" s="25"/>
      <c r="H30" s="25"/>
      <c r="I30" s="25"/>
      <c r="J30" s="26"/>
      <c r="K30" s="3"/>
      <c r="L30" s="1"/>
      <c r="M30" s="1"/>
    </row>
    <row r="31" spans="1:13" ht="12.75">
      <c r="A31" s="1"/>
      <c r="B31" s="4"/>
      <c r="C31" s="9"/>
      <c r="D31" s="25"/>
      <c r="E31" s="25"/>
      <c r="F31" s="21" t="s">
        <v>18</v>
      </c>
      <c r="G31" s="21"/>
      <c r="H31" s="25"/>
      <c r="I31" s="53" t="s">
        <v>19</v>
      </c>
      <c r="J31" s="52"/>
      <c r="K31" s="3"/>
      <c r="L31" s="1"/>
      <c r="M31" s="1"/>
    </row>
    <row r="32" spans="1:13" ht="12.75">
      <c r="A32" s="1"/>
      <c r="B32" s="4"/>
      <c r="C32" s="9"/>
      <c r="D32" s="25"/>
      <c r="E32" s="25"/>
      <c r="F32" s="5"/>
      <c r="G32" s="26"/>
      <c r="H32" s="25"/>
      <c r="I32" s="5"/>
      <c r="J32" s="26"/>
      <c r="K32" s="3"/>
      <c r="L32" s="1"/>
      <c r="M32" s="1"/>
    </row>
    <row r="33" spans="1:13" ht="12.75">
      <c r="A33" s="1"/>
      <c r="B33" s="22" t="s">
        <v>173</v>
      </c>
      <c r="C33" s="23">
        <v>37256</v>
      </c>
      <c r="D33" s="24">
        <f>D12</f>
        <v>15000</v>
      </c>
      <c r="E33" s="25"/>
      <c r="F33" s="5">
        <f>D33</f>
        <v>15000</v>
      </c>
      <c r="G33" s="26"/>
      <c r="H33" s="25"/>
      <c r="I33" s="5"/>
      <c r="J33" s="26"/>
      <c r="K33" s="3"/>
      <c r="L33" s="1"/>
      <c r="M33" s="1"/>
    </row>
    <row r="34" spans="1:13" ht="12.75">
      <c r="A34" s="1"/>
      <c r="B34" s="27"/>
      <c r="C34" s="28"/>
      <c r="D34" s="5"/>
      <c r="E34" s="25"/>
      <c r="F34" s="5"/>
      <c r="G34" s="26"/>
      <c r="H34" s="25"/>
      <c r="I34" s="5"/>
      <c r="J34" s="26"/>
      <c r="K34" s="3"/>
      <c r="L34" s="1"/>
      <c r="M34" s="1"/>
    </row>
    <row r="35" spans="1:13" ht="12.75">
      <c r="A35" s="1"/>
      <c r="B35" s="27" t="s">
        <v>20</v>
      </c>
      <c r="C35" s="28">
        <v>37437</v>
      </c>
      <c r="D35" s="5">
        <f>D14</f>
        <v>20000</v>
      </c>
      <c r="E35" s="25"/>
      <c r="F35" s="5">
        <f>D35</f>
        <v>20000</v>
      </c>
      <c r="G35" s="26"/>
      <c r="H35" s="25"/>
      <c r="I35" s="5"/>
      <c r="J35" s="26"/>
      <c r="K35" s="3"/>
      <c r="L35" s="1"/>
      <c r="M35" s="1"/>
    </row>
    <row r="36" spans="1:13" ht="12.75">
      <c r="A36" s="1"/>
      <c r="B36" s="27"/>
      <c r="C36" s="28"/>
      <c r="D36" s="5"/>
      <c r="E36" s="25"/>
      <c r="F36" s="5"/>
      <c r="G36" s="26"/>
      <c r="H36" s="25"/>
      <c r="I36" s="5"/>
      <c r="J36" s="26"/>
      <c r="K36" s="3"/>
      <c r="L36" s="1"/>
      <c r="M36" s="1"/>
    </row>
    <row r="37" spans="1:13" ht="12.75">
      <c r="A37" s="1"/>
      <c r="B37" s="27"/>
      <c r="C37" s="28">
        <v>37620</v>
      </c>
      <c r="D37" s="5">
        <f>F33+F35</f>
        <v>35000</v>
      </c>
      <c r="E37" s="25"/>
      <c r="F37" s="5"/>
      <c r="G37" s="26"/>
      <c r="H37" s="25"/>
      <c r="I37" s="5"/>
      <c r="J37" s="26"/>
      <c r="K37" s="3"/>
      <c r="L37" s="1"/>
      <c r="M37" s="1"/>
    </row>
    <row r="38" spans="1:13" ht="12.75">
      <c r="A38" s="1"/>
      <c r="B38" s="27" t="s">
        <v>177</v>
      </c>
      <c r="C38" s="28"/>
      <c r="D38" s="5">
        <f>-0.25*D37</f>
        <v>-8750</v>
      </c>
      <c r="E38" s="25"/>
      <c r="F38" s="38"/>
      <c r="G38" s="52">
        <f>-D38</f>
        <v>8750</v>
      </c>
      <c r="H38" s="25"/>
      <c r="I38" s="38">
        <f>+G38</f>
        <v>8750</v>
      </c>
      <c r="J38" s="52"/>
      <c r="K38" s="3"/>
      <c r="L38" s="1"/>
      <c r="M38" s="1"/>
    </row>
    <row r="39" spans="1:13" ht="13.5" thickBot="1">
      <c r="A39" s="1"/>
      <c r="B39" s="27" t="s">
        <v>173</v>
      </c>
      <c r="C39" s="28">
        <v>37620</v>
      </c>
      <c r="D39" s="24">
        <f>SUM(D37:D38)</f>
        <v>26250</v>
      </c>
      <c r="E39" s="25"/>
      <c r="F39" s="54">
        <f>+F33+F35-G38</f>
        <v>26250</v>
      </c>
      <c r="G39" s="55"/>
      <c r="H39" s="25"/>
      <c r="I39" s="54">
        <f>SUM(I38)</f>
        <v>8750</v>
      </c>
      <c r="J39" s="55"/>
      <c r="K39" s="3"/>
      <c r="L39" s="1"/>
      <c r="M39" s="1"/>
    </row>
    <row r="40" spans="1:13" ht="13.5" thickTop="1">
      <c r="A40" s="1"/>
      <c r="B40" s="27"/>
      <c r="C40" s="28"/>
      <c r="D40" s="5"/>
      <c r="E40" s="25"/>
      <c r="F40" s="5"/>
      <c r="G40" s="36"/>
      <c r="H40" s="25"/>
      <c r="I40" s="5"/>
      <c r="J40" s="36"/>
      <c r="K40" s="3"/>
      <c r="L40" s="1"/>
      <c r="M40" s="1"/>
    </row>
    <row r="41" spans="1:13" ht="12.75">
      <c r="A41" s="1"/>
      <c r="B41" s="27" t="s">
        <v>174</v>
      </c>
      <c r="C41" s="28">
        <v>37621</v>
      </c>
      <c r="D41" s="5"/>
      <c r="E41" s="25"/>
      <c r="F41" s="5">
        <f>F39</f>
        <v>26250</v>
      </c>
      <c r="G41" s="26"/>
      <c r="H41" s="25"/>
      <c r="I41" s="5"/>
      <c r="J41" s="26"/>
      <c r="K41" s="3"/>
      <c r="L41" s="1"/>
      <c r="M41" s="1"/>
    </row>
    <row r="42" spans="1:13" ht="12.75">
      <c r="A42" s="1"/>
      <c r="B42" s="27" t="s">
        <v>21</v>
      </c>
      <c r="C42" s="28">
        <v>37725</v>
      </c>
      <c r="D42" s="5">
        <f>D21</f>
        <v>18000</v>
      </c>
      <c r="E42" s="25"/>
      <c r="F42" s="5">
        <f>D42</f>
        <v>18000</v>
      </c>
      <c r="G42" s="26"/>
      <c r="H42" s="25"/>
      <c r="I42" s="5"/>
      <c r="J42" s="26"/>
      <c r="K42" s="3"/>
      <c r="L42" s="1"/>
      <c r="M42" s="1"/>
    </row>
    <row r="43" spans="1:13" ht="12.75">
      <c r="A43" s="1"/>
      <c r="B43" s="27" t="s">
        <v>22</v>
      </c>
      <c r="C43" s="28">
        <v>37801</v>
      </c>
      <c r="D43" s="5"/>
      <c r="E43" s="25"/>
      <c r="F43" s="5"/>
      <c r="G43" s="26"/>
      <c r="H43" s="25"/>
      <c r="I43" s="5"/>
      <c r="J43" s="26"/>
      <c r="K43" s="3"/>
      <c r="L43" s="1"/>
      <c r="M43" s="1"/>
    </row>
    <row r="44" spans="1:13" ht="12.75">
      <c r="A44" s="1"/>
      <c r="B44" s="27" t="s">
        <v>23</v>
      </c>
      <c r="C44" s="28"/>
      <c r="D44" s="5">
        <v>25000</v>
      </c>
      <c r="E44" s="25"/>
      <c r="F44" s="5">
        <f>D44</f>
        <v>25000</v>
      </c>
      <c r="G44" s="26"/>
      <c r="H44" s="25"/>
      <c r="I44" s="5"/>
      <c r="J44" s="26"/>
      <c r="K44" s="3"/>
      <c r="L44" s="1"/>
      <c r="M44" s="1"/>
    </row>
    <row r="45" spans="1:13" ht="12.75">
      <c r="A45" s="1"/>
      <c r="B45" s="27" t="s">
        <v>24</v>
      </c>
      <c r="C45" s="28"/>
      <c r="D45" s="5">
        <v>10000</v>
      </c>
      <c r="E45" s="25"/>
      <c r="F45" s="5"/>
      <c r="G45" s="26">
        <f>D45</f>
        <v>10000</v>
      </c>
      <c r="H45" s="25"/>
      <c r="I45" s="5"/>
      <c r="J45" s="26"/>
      <c r="K45" s="3"/>
      <c r="L45" s="1"/>
      <c r="M45" s="1"/>
    </row>
    <row r="46" spans="1:13" ht="12.75">
      <c r="A46" s="1"/>
      <c r="B46" s="27"/>
      <c r="C46" s="28"/>
      <c r="D46" s="5"/>
      <c r="E46" s="25"/>
      <c r="F46" s="5"/>
      <c r="G46" s="26"/>
      <c r="H46" s="25"/>
      <c r="I46" s="5"/>
      <c r="J46" s="26"/>
      <c r="K46" s="3"/>
      <c r="L46" s="1"/>
      <c r="M46" s="1"/>
    </row>
    <row r="47" spans="1:13" ht="12.75">
      <c r="A47" s="1"/>
      <c r="B47" s="27" t="s">
        <v>173</v>
      </c>
      <c r="C47" s="28">
        <f>C23</f>
        <v>37985</v>
      </c>
      <c r="D47" s="5">
        <f>+D39+D42+D44-D45</f>
        <v>59250</v>
      </c>
      <c r="E47" s="25"/>
      <c r="F47" s="5"/>
      <c r="G47" s="26"/>
      <c r="H47" s="25"/>
      <c r="I47" s="5"/>
      <c r="J47" s="26"/>
      <c r="K47" s="3"/>
      <c r="L47" s="1"/>
      <c r="M47" s="1"/>
    </row>
    <row r="48" spans="1:13" ht="12.75">
      <c r="A48" s="1"/>
      <c r="B48" s="27" t="str">
        <f>B24</f>
        <v>Suunnitelmapoistot *)</v>
      </c>
      <c r="C48" s="28"/>
      <c r="D48" s="5">
        <f>-D47*0.25</f>
        <v>-14812.5</v>
      </c>
      <c r="E48" s="25"/>
      <c r="F48" s="38"/>
      <c r="G48" s="52">
        <f>-D48</f>
        <v>14812.5</v>
      </c>
      <c r="H48" s="25"/>
      <c r="I48" s="38">
        <f>+G48</f>
        <v>14812.5</v>
      </c>
      <c r="J48" s="52"/>
      <c r="K48" s="3"/>
      <c r="L48" s="1"/>
      <c r="M48" s="1"/>
    </row>
    <row r="49" spans="1:13" ht="13.5" thickBot="1">
      <c r="A49" s="1"/>
      <c r="B49" s="29" t="s">
        <v>173</v>
      </c>
      <c r="C49" s="30"/>
      <c r="D49" s="31">
        <f>SUM(D47:D48)</f>
        <v>44437.5</v>
      </c>
      <c r="E49" s="4"/>
      <c r="F49" s="54">
        <f>+F41+F42+F44-G45-G48</f>
        <v>44437.5</v>
      </c>
      <c r="G49" s="59"/>
      <c r="H49" s="33"/>
      <c r="I49" s="54">
        <f>SUM(I48)</f>
        <v>14812.5</v>
      </c>
      <c r="J49" s="59"/>
      <c r="K49" s="1"/>
      <c r="L49" s="1"/>
      <c r="M49" s="1"/>
    </row>
    <row r="50" spans="1:13" ht="13.5" thickTop="1">
      <c r="A50" s="1"/>
      <c r="B50" s="4"/>
      <c r="C50" s="9"/>
      <c r="D50" s="4"/>
      <c r="E50" s="4"/>
      <c r="F50" s="4"/>
      <c r="G50" s="4"/>
      <c r="H50" s="4"/>
      <c r="I50" s="4"/>
      <c r="J50" s="4"/>
      <c r="K50" s="1"/>
      <c r="L50" s="1"/>
      <c r="M50" s="1"/>
    </row>
    <row r="51" spans="1:13" ht="12.75">
      <c r="A51" s="1"/>
      <c r="B51" s="4"/>
      <c r="C51" s="9"/>
      <c r="D51" s="4"/>
      <c r="E51" s="4"/>
      <c r="F51" s="4"/>
      <c r="G51" s="4"/>
      <c r="H51" s="4"/>
      <c r="I51" s="4"/>
      <c r="J51" s="4"/>
      <c r="K51" s="1"/>
      <c r="L51" s="1"/>
      <c r="M51" s="1"/>
    </row>
    <row r="52" spans="1:13" ht="12.75">
      <c r="A52" s="1"/>
      <c r="B52" s="4"/>
      <c r="C52" s="9"/>
      <c r="D52" s="4"/>
      <c r="E52" s="4"/>
      <c r="F52" s="4"/>
      <c r="G52" s="4"/>
      <c r="H52" s="4"/>
      <c r="I52" s="4"/>
      <c r="J52" s="4"/>
      <c r="K52" s="1"/>
      <c r="L52" s="1"/>
      <c r="M52" s="1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</sheetData>
  <printOptions/>
  <pageMargins left="0.75" right="0.75" top="1" bottom="1" header="0.5" footer="0.5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U476"/>
  <sheetViews>
    <sheetView workbookViewId="0" topLeftCell="A1">
      <selection activeCell="E24" sqref="E24"/>
    </sheetView>
  </sheetViews>
  <sheetFormatPr defaultColWidth="9.00390625" defaultRowHeight="12.75"/>
  <cols>
    <col min="1" max="2" width="9.125" style="4" customWidth="1"/>
    <col min="3" max="3" width="10.125" style="4" customWidth="1"/>
    <col min="4" max="4" width="8.00390625" style="4" customWidth="1"/>
    <col min="5" max="5" width="10.00390625" style="4" customWidth="1"/>
    <col min="6" max="6" width="5.625" style="4" customWidth="1"/>
    <col min="7" max="7" width="8.75390625" style="4" customWidth="1"/>
    <col min="8" max="8" width="6.75390625" style="4" customWidth="1"/>
    <col min="9" max="9" width="2.25390625" style="4" customWidth="1"/>
    <col min="10" max="10" width="5.375" style="4" customWidth="1"/>
    <col min="11" max="11" width="7.25390625" style="4" customWidth="1"/>
    <col min="12" max="12" width="2.00390625" style="4" customWidth="1"/>
    <col min="13" max="13" width="7.75390625" style="4" customWidth="1"/>
    <col min="14" max="14" width="6.75390625" style="4" customWidth="1"/>
    <col min="15" max="15" width="2.625" style="4" customWidth="1"/>
    <col min="16" max="16" width="6.75390625" style="4" customWidth="1"/>
    <col min="17" max="17" width="6.125" style="4" customWidth="1"/>
    <col min="18" max="18" width="3.125" style="4" customWidth="1"/>
    <col min="19" max="19" width="8.75390625" style="4" customWidth="1"/>
    <col min="20" max="20" width="6.625" style="4" customWidth="1"/>
    <col min="21" max="16384" width="9.125" style="4" customWidth="1"/>
  </cols>
  <sheetData>
    <row r="2" spans="1:2" ht="12.75">
      <c r="A2" s="16" t="s">
        <v>158</v>
      </c>
      <c r="B2" s="16"/>
    </row>
    <row r="4" spans="1:2" ht="12.75">
      <c r="A4" s="16" t="s">
        <v>46</v>
      </c>
      <c r="B4" s="16"/>
    </row>
    <row r="6" ht="12.75">
      <c r="A6" s="4" t="s">
        <v>287</v>
      </c>
    </row>
    <row r="7" ht="12.75">
      <c r="A7" s="4" t="s">
        <v>206</v>
      </c>
    </row>
    <row r="8" ht="12.75">
      <c r="A8" s="4" t="s">
        <v>242</v>
      </c>
    </row>
    <row r="9" ht="12.75">
      <c r="A9" s="4" t="s">
        <v>286</v>
      </c>
    </row>
    <row r="11" spans="16:17" ht="12.75">
      <c r="P11" s="150" t="s">
        <v>197</v>
      </c>
      <c r="Q11" s="150"/>
    </row>
    <row r="12" spans="7:20" ht="12.75">
      <c r="G12" s="4" t="s">
        <v>18</v>
      </c>
      <c r="H12" s="21"/>
      <c r="J12" s="4" t="s">
        <v>45</v>
      </c>
      <c r="K12" s="21"/>
      <c r="M12" s="21" t="s">
        <v>19</v>
      </c>
      <c r="N12" s="21"/>
      <c r="P12" s="149" t="s">
        <v>198</v>
      </c>
      <c r="Q12" s="149"/>
      <c r="S12" s="21" t="s">
        <v>178</v>
      </c>
      <c r="T12" s="21"/>
    </row>
    <row r="13" spans="1:47" ht="12.75">
      <c r="A13" s="22" t="s">
        <v>199</v>
      </c>
      <c r="B13" s="69"/>
      <c r="C13" s="69"/>
      <c r="D13" s="23">
        <v>37621</v>
      </c>
      <c r="E13" s="24">
        <v>100000</v>
      </c>
      <c r="F13" s="25"/>
      <c r="G13" s="24">
        <v>100000</v>
      </c>
      <c r="H13" s="25"/>
      <c r="I13" s="25"/>
      <c r="J13" s="24"/>
      <c r="K13" s="25"/>
      <c r="L13" s="25"/>
      <c r="M13" s="24"/>
      <c r="N13" s="25"/>
      <c r="O13" s="25"/>
      <c r="P13" s="5"/>
      <c r="Q13" s="25"/>
      <c r="R13" s="25"/>
      <c r="S13" s="2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12.75">
      <c r="A14" s="27" t="s">
        <v>163</v>
      </c>
      <c r="B14" s="33"/>
      <c r="C14" s="33"/>
      <c r="D14" s="28">
        <v>37985</v>
      </c>
      <c r="E14" s="37">
        <v>-50000</v>
      </c>
      <c r="F14" s="25"/>
      <c r="G14" s="5"/>
      <c r="H14" s="25"/>
      <c r="I14" s="25"/>
      <c r="J14" s="5"/>
      <c r="K14" s="26">
        <v>50000</v>
      </c>
      <c r="L14" s="25"/>
      <c r="M14" s="5">
        <v>50000</v>
      </c>
      <c r="N14" s="25"/>
      <c r="O14" s="25"/>
      <c r="P14" s="5"/>
      <c r="Q14" s="25"/>
      <c r="R14" s="25"/>
      <c r="S14" s="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12.75">
      <c r="A15" s="27" t="s">
        <v>174</v>
      </c>
      <c r="B15" s="33"/>
      <c r="C15" s="33"/>
      <c r="D15" s="28">
        <v>37985</v>
      </c>
      <c r="E15" s="5">
        <f>SUM(E13:E14)</f>
        <v>50000</v>
      </c>
      <c r="F15" s="25"/>
      <c r="G15" s="5"/>
      <c r="H15" s="25"/>
      <c r="I15" s="25"/>
      <c r="J15" s="5"/>
      <c r="K15" s="26"/>
      <c r="L15" s="25"/>
      <c r="M15" s="5"/>
      <c r="N15" s="25"/>
      <c r="O15" s="25"/>
      <c r="P15" s="5"/>
      <c r="Q15" s="25"/>
      <c r="R15" s="25"/>
      <c r="S15" s="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12.75">
      <c r="A16" s="27"/>
      <c r="B16" s="33"/>
      <c r="C16" s="33"/>
      <c r="D16" s="33"/>
      <c r="E16" s="5"/>
      <c r="F16" s="25"/>
      <c r="G16" s="5"/>
      <c r="H16" s="25"/>
      <c r="I16" s="25"/>
      <c r="J16" s="5"/>
      <c r="K16" s="26"/>
      <c r="L16" s="25"/>
      <c r="M16" s="5"/>
      <c r="N16" s="25"/>
      <c r="O16" s="25"/>
      <c r="P16" s="5"/>
      <c r="Q16" s="25"/>
      <c r="R16" s="25"/>
      <c r="S16" s="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12.75">
      <c r="A17" s="27" t="s">
        <v>207</v>
      </c>
      <c r="B17" s="33"/>
      <c r="C17" s="33"/>
      <c r="D17" s="28"/>
      <c r="E17" s="5">
        <f>0.25*E13</f>
        <v>25000</v>
      </c>
      <c r="F17" s="25" t="s">
        <v>50</v>
      </c>
      <c r="G17" s="38"/>
      <c r="H17" s="53"/>
      <c r="I17" s="53"/>
      <c r="J17" s="38"/>
      <c r="K17" s="52"/>
      <c r="L17" s="53"/>
      <c r="M17" s="38"/>
      <c r="N17" s="53"/>
      <c r="O17" s="53"/>
      <c r="P17" s="38"/>
      <c r="Q17" s="53"/>
      <c r="R17" s="53"/>
      <c r="S17" s="38"/>
      <c r="T17" s="53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13.5" thickBot="1">
      <c r="A18" s="27"/>
      <c r="B18" s="33"/>
      <c r="C18" s="33"/>
      <c r="D18" s="33"/>
      <c r="E18" s="5"/>
      <c r="F18" s="25"/>
      <c r="G18" s="54">
        <f>SUM(G13:G17)</f>
        <v>100000</v>
      </c>
      <c r="H18" s="56"/>
      <c r="I18" s="56"/>
      <c r="J18" s="54"/>
      <c r="K18" s="55">
        <f>SUM(K14:K17)</f>
        <v>50000</v>
      </c>
      <c r="L18" s="56"/>
      <c r="M18" s="54">
        <f>SUM(M14:M17)</f>
        <v>50000</v>
      </c>
      <c r="N18" s="56"/>
      <c r="O18" s="56"/>
      <c r="P18" s="54"/>
      <c r="Q18" s="56"/>
      <c r="R18" s="56"/>
      <c r="S18" s="54"/>
      <c r="T18" s="56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13.5" thickTop="1">
      <c r="A19" s="27"/>
      <c r="B19" s="33"/>
      <c r="C19" s="33"/>
      <c r="D19" s="33"/>
      <c r="E19" s="5"/>
      <c r="F19" s="25"/>
      <c r="G19" s="5"/>
      <c r="H19" s="8"/>
      <c r="I19" s="8"/>
      <c r="J19" s="5"/>
      <c r="K19" s="36"/>
      <c r="L19" s="8"/>
      <c r="M19" s="5"/>
      <c r="N19" s="8"/>
      <c r="O19" s="8"/>
      <c r="P19" s="5"/>
      <c r="Q19" s="8"/>
      <c r="R19" s="8"/>
      <c r="S19" s="5"/>
      <c r="T19" s="8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12.75">
      <c r="A20" s="27" t="s">
        <v>173</v>
      </c>
      <c r="B20" s="33"/>
      <c r="C20" s="33"/>
      <c r="D20" s="28">
        <v>37986</v>
      </c>
      <c r="E20" s="5">
        <f>+E15</f>
        <v>50000</v>
      </c>
      <c r="F20" s="25"/>
      <c r="G20" s="5">
        <v>100000</v>
      </c>
      <c r="H20" s="25"/>
      <c r="I20" s="25"/>
      <c r="J20" s="5"/>
      <c r="K20" s="26">
        <v>50000</v>
      </c>
      <c r="L20" s="25"/>
      <c r="M20" s="5"/>
      <c r="N20" s="25"/>
      <c r="O20" s="25"/>
      <c r="P20" s="5"/>
      <c r="Q20" s="25"/>
      <c r="R20" s="25"/>
      <c r="S20" s="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12.75">
      <c r="A21" s="27" t="s">
        <v>19</v>
      </c>
      <c r="B21" s="33"/>
      <c r="C21" s="33"/>
      <c r="D21" s="28">
        <v>38351</v>
      </c>
      <c r="E21" s="37">
        <v>-50000</v>
      </c>
      <c r="F21" s="25"/>
      <c r="G21" s="5"/>
      <c r="H21" s="25"/>
      <c r="I21" s="25"/>
      <c r="J21" s="5"/>
      <c r="K21" s="26">
        <v>50000</v>
      </c>
      <c r="L21" s="25"/>
      <c r="M21" s="5">
        <v>50000</v>
      </c>
      <c r="N21" s="25"/>
      <c r="O21" s="25"/>
      <c r="P21" s="5"/>
      <c r="Q21" s="25"/>
      <c r="R21" s="25"/>
      <c r="S21" s="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12.75">
      <c r="A22" s="27" t="s">
        <v>174</v>
      </c>
      <c r="B22" s="33"/>
      <c r="C22" s="33"/>
      <c r="D22" s="28">
        <v>38351</v>
      </c>
      <c r="E22" s="5">
        <f>SUM(E20:E21)</f>
        <v>0</v>
      </c>
      <c r="F22" s="25"/>
      <c r="G22" s="5"/>
      <c r="H22" s="25"/>
      <c r="I22" s="25"/>
      <c r="J22" s="5"/>
      <c r="K22" s="26"/>
      <c r="L22" s="25"/>
      <c r="M22" s="5"/>
      <c r="N22" s="25"/>
      <c r="O22" s="25"/>
      <c r="P22" s="5"/>
      <c r="Q22" s="25"/>
      <c r="R22" s="25"/>
      <c r="S22" s="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ht="12.75">
      <c r="A23" s="27"/>
      <c r="B23" s="33"/>
      <c r="C23" s="33"/>
      <c r="D23" s="33"/>
      <c r="E23" s="5"/>
      <c r="F23" s="25"/>
      <c r="G23" s="5"/>
      <c r="H23" s="25"/>
      <c r="I23" s="25"/>
      <c r="J23" s="5"/>
      <c r="K23" s="26"/>
      <c r="L23" s="25"/>
      <c r="M23" s="5"/>
      <c r="N23" s="25"/>
      <c r="O23" s="25"/>
      <c r="P23" s="5"/>
      <c r="Q23" s="25"/>
      <c r="R23" s="25"/>
      <c r="S23" s="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ht="12.75">
      <c r="A24" s="27" t="s">
        <v>207</v>
      </c>
      <c r="B24" s="33"/>
      <c r="C24" s="33"/>
      <c r="D24" s="33"/>
      <c r="E24" s="5">
        <f>E61</f>
        <v>18750</v>
      </c>
      <c r="F24" s="25" t="s">
        <v>52</v>
      </c>
      <c r="G24" s="74"/>
      <c r="H24" s="75"/>
      <c r="I24" s="75"/>
      <c r="J24" s="74"/>
      <c r="K24" s="138"/>
      <c r="L24" s="138"/>
      <c r="M24" s="139"/>
      <c r="N24" s="75"/>
      <c r="O24" s="75"/>
      <c r="P24" s="74"/>
      <c r="Q24" s="75"/>
      <c r="R24" s="75"/>
      <c r="S24" s="74"/>
      <c r="T24" s="7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ht="13.5" thickBot="1">
      <c r="A25" s="27"/>
      <c r="B25" s="33"/>
      <c r="C25" s="33"/>
      <c r="D25" s="33"/>
      <c r="E25" s="5"/>
      <c r="F25" s="25"/>
      <c r="G25" s="54">
        <f>SUM(G20:G24)</f>
        <v>100000</v>
      </c>
      <c r="H25" s="56"/>
      <c r="I25" s="56"/>
      <c r="J25" s="54"/>
      <c r="K25" s="55">
        <f>SUM(K20:K24)</f>
        <v>100000</v>
      </c>
      <c r="L25" s="56"/>
      <c r="M25" s="54">
        <f>SUM(M21:M24)</f>
        <v>50000</v>
      </c>
      <c r="N25" s="56"/>
      <c r="O25" s="56"/>
      <c r="P25" s="54"/>
      <c r="Q25" s="56"/>
      <c r="R25" s="56"/>
      <c r="S25" s="54"/>
      <c r="T25" s="56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47" ht="13.5" thickTop="1">
      <c r="A26" s="27"/>
      <c r="B26" s="33"/>
      <c r="C26" s="33"/>
      <c r="D26" s="33"/>
      <c r="E26" s="5"/>
      <c r="F26" s="25"/>
      <c r="G26" s="5"/>
      <c r="H26" s="8"/>
      <c r="I26" s="8"/>
      <c r="J26" s="5"/>
      <c r="K26" s="36"/>
      <c r="L26" s="8"/>
      <c r="M26" s="5"/>
      <c r="N26" s="8"/>
      <c r="O26" s="8"/>
      <c r="P26" s="5"/>
      <c r="Q26" s="8"/>
      <c r="R26" s="8"/>
      <c r="S26" s="5"/>
      <c r="T26" s="8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</row>
    <row r="27" spans="1:47" ht="12.75">
      <c r="A27" s="27"/>
      <c r="B27" s="33"/>
      <c r="C27" s="33"/>
      <c r="D27" s="33"/>
      <c r="E27" s="5"/>
      <c r="F27" s="25"/>
      <c r="G27" s="5">
        <v>100000</v>
      </c>
      <c r="H27" s="8"/>
      <c r="I27" s="8"/>
      <c r="J27" s="5"/>
      <c r="K27" s="36">
        <v>100000</v>
      </c>
      <c r="L27" s="8"/>
      <c r="M27" s="5"/>
      <c r="N27" s="8"/>
      <c r="O27" s="8"/>
      <c r="P27" s="5"/>
      <c r="Q27" s="8"/>
      <c r="R27" s="8"/>
      <c r="S27" s="5"/>
      <c r="T27" s="8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</row>
    <row r="28" spans="1:47" ht="12.75">
      <c r="A28" s="27" t="s">
        <v>21</v>
      </c>
      <c r="B28" s="33"/>
      <c r="C28" s="33"/>
      <c r="D28" s="28">
        <v>38352</v>
      </c>
      <c r="E28" s="5">
        <v>200000</v>
      </c>
      <c r="F28" s="25"/>
      <c r="G28" s="5">
        <v>200000</v>
      </c>
      <c r="H28" s="25"/>
      <c r="I28" s="25"/>
      <c r="J28" s="5"/>
      <c r="K28" s="26"/>
      <c r="L28" s="25"/>
      <c r="M28" s="5"/>
      <c r="N28" s="25"/>
      <c r="O28" s="25"/>
      <c r="P28" s="5"/>
      <c r="Q28" s="25"/>
      <c r="R28" s="25"/>
      <c r="S28" s="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</row>
    <row r="29" spans="1:47" ht="12.75">
      <c r="A29" s="27" t="s">
        <v>19</v>
      </c>
      <c r="B29" s="33"/>
      <c r="C29" s="33"/>
      <c r="D29" s="28">
        <v>38716</v>
      </c>
      <c r="E29" s="37">
        <v>-20000</v>
      </c>
      <c r="F29" s="25"/>
      <c r="G29" s="5"/>
      <c r="H29" s="25"/>
      <c r="I29" s="25"/>
      <c r="J29" s="5"/>
      <c r="K29" s="26">
        <v>20000</v>
      </c>
      <c r="L29" s="25"/>
      <c r="M29" s="5">
        <v>20000</v>
      </c>
      <c r="N29" s="25"/>
      <c r="O29" s="25"/>
      <c r="P29" s="5"/>
      <c r="Q29" s="25"/>
      <c r="R29" s="25"/>
      <c r="S29" s="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12.75">
      <c r="A30" s="27" t="s">
        <v>174</v>
      </c>
      <c r="B30" s="33"/>
      <c r="C30" s="33"/>
      <c r="D30" s="28">
        <v>38716</v>
      </c>
      <c r="E30" s="5">
        <f>SUM(E28:E29)</f>
        <v>180000</v>
      </c>
      <c r="F30" s="25"/>
      <c r="G30" s="5"/>
      <c r="H30" s="25"/>
      <c r="I30" s="25"/>
      <c r="J30" s="5"/>
      <c r="K30" s="25"/>
      <c r="L30" s="25"/>
      <c r="M30" s="5"/>
      <c r="N30" s="25"/>
      <c r="O30" s="25"/>
      <c r="P30" s="5"/>
      <c r="Q30" s="25"/>
      <c r="R30" s="25"/>
      <c r="S30" s="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</row>
    <row r="31" spans="1:47" ht="12.75">
      <c r="A31" s="27"/>
      <c r="B31" s="33"/>
      <c r="C31" s="33"/>
      <c r="D31" s="33"/>
      <c r="E31" s="5"/>
      <c r="F31" s="25"/>
      <c r="G31" s="5"/>
      <c r="H31" s="25"/>
      <c r="I31" s="25"/>
      <c r="J31" s="5"/>
      <c r="K31" s="25"/>
      <c r="L31" s="25"/>
      <c r="M31" s="5"/>
      <c r="N31" s="25"/>
      <c r="O31" s="25"/>
      <c r="P31" s="5"/>
      <c r="Q31" s="25"/>
      <c r="R31" s="25"/>
      <c r="S31" s="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</row>
    <row r="32" spans="1:47" ht="12.75">
      <c r="A32" s="27" t="s">
        <v>207</v>
      </c>
      <c r="B32" s="33"/>
      <c r="C32" s="33"/>
      <c r="D32" s="33"/>
      <c r="E32" s="5">
        <f>E70</f>
        <v>64062.5</v>
      </c>
      <c r="F32" s="25" t="s">
        <v>149</v>
      </c>
      <c r="G32" s="38"/>
      <c r="H32" s="53"/>
      <c r="I32" s="53"/>
      <c r="J32" s="38"/>
      <c r="K32" s="53"/>
      <c r="L32" s="53"/>
      <c r="M32" s="38"/>
      <c r="N32" s="53"/>
      <c r="O32" s="53"/>
      <c r="P32" s="38"/>
      <c r="Q32" s="53"/>
      <c r="R32" s="53"/>
      <c r="S32" s="38"/>
      <c r="T32" s="53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</row>
    <row r="33" spans="1:47" ht="13.5" thickBot="1">
      <c r="A33" s="27"/>
      <c r="B33" s="33"/>
      <c r="C33" s="33"/>
      <c r="D33" s="33"/>
      <c r="E33" s="5"/>
      <c r="F33" s="25"/>
      <c r="G33" s="54">
        <f>SUM(G27:G32)</f>
        <v>300000</v>
      </c>
      <c r="H33" s="56"/>
      <c r="I33" s="56"/>
      <c r="J33" s="54"/>
      <c r="K33" s="55">
        <f>SUM(K27:K30)</f>
        <v>120000</v>
      </c>
      <c r="L33" s="56"/>
      <c r="M33" s="54">
        <f>SUM(M29:M32)</f>
        <v>20000</v>
      </c>
      <c r="N33" s="56"/>
      <c r="O33" s="56"/>
      <c r="P33" s="54"/>
      <c r="Q33" s="56"/>
      <c r="R33" s="56"/>
      <c r="S33" s="54"/>
      <c r="T33" s="56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</row>
    <row r="34" spans="1:47" ht="13.5" thickTop="1">
      <c r="A34" s="27"/>
      <c r="B34" s="33"/>
      <c r="C34" s="33"/>
      <c r="D34" s="33"/>
      <c r="E34" s="5"/>
      <c r="F34" s="25"/>
      <c r="G34" s="5"/>
      <c r="H34" s="25"/>
      <c r="I34" s="25"/>
      <c r="J34" s="5"/>
      <c r="K34" s="25"/>
      <c r="L34" s="25"/>
      <c r="M34" s="5"/>
      <c r="N34" s="25"/>
      <c r="O34" s="25"/>
      <c r="P34" s="5"/>
      <c r="Q34" s="25"/>
      <c r="R34" s="25"/>
      <c r="S34" s="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</row>
    <row r="35" spans="1:47" ht="13.5" customHeight="1">
      <c r="A35" s="27"/>
      <c r="B35" s="33"/>
      <c r="C35" s="33"/>
      <c r="D35" s="33"/>
      <c r="E35" s="5"/>
      <c r="F35" s="25"/>
      <c r="G35" s="5">
        <f>G33</f>
        <v>300000</v>
      </c>
      <c r="H35" s="25"/>
      <c r="I35" s="25"/>
      <c r="J35" s="5"/>
      <c r="K35" s="26">
        <f>K33</f>
        <v>120000</v>
      </c>
      <c r="L35" s="25"/>
      <c r="M35" s="5"/>
      <c r="N35" s="25"/>
      <c r="O35" s="25"/>
      <c r="P35" s="5"/>
      <c r="Q35" s="25"/>
      <c r="R35" s="25"/>
      <c r="S35" s="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</row>
    <row r="36" spans="1:47" ht="13.5" customHeight="1">
      <c r="A36" s="27" t="s">
        <v>173</v>
      </c>
      <c r="B36" s="33"/>
      <c r="C36" s="33"/>
      <c r="D36" s="28">
        <v>38717</v>
      </c>
      <c r="E36" s="5">
        <f>+E30</f>
        <v>180000</v>
      </c>
      <c r="F36" s="25"/>
      <c r="G36" s="5"/>
      <c r="H36" s="25"/>
      <c r="I36" s="25"/>
      <c r="J36" s="5"/>
      <c r="K36" s="25"/>
      <c r="L36" s="25"/>
      <c r="M36" s="5"/>
      <c r="N36" s="25"/>
      <c r="O36" s="25"/>
      <c r="P36" s="5"/>
      <c r="Q36" s="25"/>
      <c r="R36" s="25"/>
      <c r="S36" s="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1:47" ht="13.5" customHeight="1">
      <c r="A37" s="27" t="s">
        <v>163</v>
      </c>
      <c r="B37" s="33"/>
      <c r="C37" s="33"/>
      <c r="D37" s="28">
        <v>39081</v>
      </c>
      <c r="E37" s="37">
        <v>-20000</v>
      </c>
      <c r="F37" s="25"/>
      <c r="G37" s="5"/>
      <c r="H37" s="25"/>
      <c r="I37" s="25"/>
      <c r="J37" s="5"/>
      <c r="K37" s="26">
        <v>20000</v>
      </c>
      <c r="L37" s="25"/>
      <c r="M37" s="5">
        <v>20000</v>
      </c>
      <c r="N37" s="25"/>
      <c r="O37" s="25"/>
      <c r="P37" s="5"/>
      <c r="Q37" s="25"/>
      <c r="R37" s="25"/>
      <c r="S37" s="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</row>
    <row r="38" spans="1:47" ht="13.5" customHeight="1">
      <c r="A38" s="27" t="s">
        <v>173</v>
      </c>
      <c r="B38" s="33"/>
      <c r="C38" s="33"/>
      <c r="D38" s="28">
        <v>39081</v>
      </c>
      <c r="E38" s="5">
        <f>SUM(E36:E37)</f>
        <v>160000</v>
      </c>
      <c r="F38" s="25"/>
      <c r="G38" s="5"/>
      <c r="H38" s="25"/>
      <c r="I38" s="25"/>
      <c r="J38" s="5"/>
      <c r="K38" s="25"/>
      <c r="L38" s="25"/>
      <c r="M38" s="5"/>
      <c r="N38" s="25"/>
      <c r="O38" s="25"/>
      <c r="P38" s="5"/>
      <c r="Q38" s="25"/>
      <c r="R38" s="25"/>
      <c r="S38" s="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</row>
    <row r="39" spans="1:47" ht="13.5" customHeight="1">
      <c r="A39" s="27"/>
      <c r="B39" s="33"/>
      <c r="C39" s="33"/>
      <c r="D39" s="33"/>
      <c r="E39" s="5"/>
      <c r="F39" s="25"/>
      <c r="G39" s="5"/>
      <c r="H39" s="25"/>
      <c r="I39" s="25"/>
      <c r="J39" s="5"/>
      <c r="K39" s="25"/>
      <c r="L39" s="25"/>
      <c r="M39" s="5"/>
      <c r="N39" s="25"/>
      <c r="O39" s="25"/>
      <c r="P39" s="5"/>
      <c r="Q39" s="25"/>
      <c r="R39" s="25"/>
      <c r="S39" s="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</row>
    <row r="40" spans="1:47" ht="12.75">
      <c r="A40" s="27" t="s">
        <v>210</v>
      </c>
      <c r="B40" s="33"/>
      <c r="C40" s="33"/>
      <c r="D40" s="28">
        <v>39081</v>
      </c>
      <c r="E40" s="5">
        <f>S57</f>
        <v>15859.375</v>
      </c>
      <c r="F40" s="25" t="s">
        <v>182</v>
      </c>
      <c r="G40" s="5"/>
      <c r="H40" s="25"/>
      <c r="I40" s="25"/>
      <c r="J40" s="5"/>
      <c r="K40" s="25"/>
      <c r="L40" s="25"/>
      <c r="M40" s="5"/>
      <c r="N40" s="25"/>
      <c r="O40" s="25"/>
      <c r="P40" s="5"/>
      <c r="Q40" s="25"/>
      <c r="R40" s="25"/>
      <c r="S40" s="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</row>
    <row r="41" spans="1:47" ht="12.75">
      <c r="A41" s="27"/>
      <c r="B41" s="33"/>
      <c r="C41" s="33"/>
      <c r="D41" s="33"/>
      <c r="E41" s="5"/>
      <c r="F41" s="25"/>
      <c r="G41" s="38"/>
      <c r="H41" s="53"/>
      <c r="I41" s="53"/>
      <c r="J41" s="38"/>
      <c r="K41" s="53"/>
      <c r="L41" s="53"/>
      <c r="M41" s="38"/>
      <c r="N41" s="53"/>
      <c r="O41" s="53"/>
      <c r="P41" s="38">
        <f>S57</f>
        <v>15859.375</v>
      </c>
      <c r="Q41" s="53"/>
      <c r="R41" s="53"/>
      <c r="S41" s="38"/>
      <c r="T41" s="52">
        <f>S57</f>
        <v>15859.375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</row>
    <row r="42" spans="1:47" ht="13.5" thickBot="1">
      <c r="A42" s="29"/>
      <c r="B42" s="21"/>
      <c r="C42" s="21"/>
      <c r="D42" s="21"/>
      <c r="E42" s="38"/>
      <c r="F42" s="25"/>
      <c r="G42" s="54">
        <f>+G35</f>
        <v>300000</v>
      </c>
      <c r="H42" s="56"/>
      <c r="I42" s="56"/>
      <c r="J42" s="54"/>
      <c r="K42" s="56">
        <f>SUM(K35:K37)</f>
        <v>140000</v>
      </c>
      <c r="L42" s="56"/>
      <c r="M42" s="54">
        <f>SUM(M37:M41)</f>
        <v>20000</v>
      </c>
      <c r="N42" s="56"/>
      <c r="O42" s="56"/>
      <c r="P42" s="54">
        <f>SUM(P41)</f>
        <v>15859.375</v>
      </c>
      <c r="Q42" s="56"/>
      <c r="R42" s="56"/>
      <c r="S42" s="54"/>
      <c r="T42" s="55">
        <f>SUM(T41)</f>
        <v>15859.375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</row>
    <row r="43" spans="5:47" ht="13.5" thickTop="1">
      <c r="E43" s="25"/>
      <c r="F43" s="2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</row>
    <row r="44" spans="5:47" ht="12.75">
      <c r="E44" s="25"/>
      <c r="F44" s="25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</row>
    <row r="45" spans="1:47" ht="12.75">
      <c r="A45" s="33" t="s">
        <v>200</v>
      </c>
      <c r="B45" s="28"/>
      <c r="C45" s="35"/>
      <c r="D45" s="8"/>
      <c r="E45" s="8"/>
      <c r="F45" s="8"/>
      <c r="G45" s="8"/>
      <c r="H45" s="8"/>
      <c r="I45" s="25"/>
      <c r="J45" s="25"/>
      <c r="K45" s="25"/>
      <c r="L45" s="25"/>
      <c r="M45" s="4" t="s">
        <v>57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R45" s="25"/>
      <c r="AS45" s="25"/>
      <c r="AT45" s="25"/>
      <c r="AU45" s="25"/>
    </row>
    <row r="46" spans="1:47" ht="12.75">
      <c r="A46" s="33" t="s">
        <v>180</v>
      </c>
      <c r="B46" s="28"/>
      <c r="D46" s="8"/>
      <c r="E46" s="8">
        <v>100000</v>
      </c>
      <c r="F46" s="8"/>
      <c r="G46" s="8"/>
      <c r="H46" s="8"/>
      <c r="I46" s="25"/>
      <c r="J46" s="25"/>
      <c r="K46" s="25"/>
      <c r="L46" s="25"/>
      <c r="M46" s="33" t="s">
        <v>180</v>
      </c>
      <c r="N46" s="28"/>
      <c r="P46" s="8"/>
      <c r="R46" s="25"/>
      <c r="S46" s="8">
        <f>+E68-E70</f>
        <v>192187.5</v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R46" s="25"/>
      <c r="AS46" s="25"/>
      <c r="AT46" s="25"/>
      <c r="AU46" s="25"/>
    </row>
    <row r="47" spans="1:47" ht="9.75" customHeight="1">
      <c r="A47" s="33"/>
      <c r="B47" s="28"/>
      <c r="D47" s="8"/>
      <c r="E47" s="8"/>
      <c r="F47" s="8"/>
      <c r="G47" s="8"/>
      <c r="H47" s="8"/>
      <c r="I47" s="25"/>
      <c r="J47" s="25"/>
      <c r="K47" s="25"/>
      <c r="L47" s="25"/>
      <c r="M47" s="33"/>
      <c r="N47" s="28"/>
      <c r="P47" s="8"/>
      <c r="R47" s="25"/>
      <c r="S47" s="8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R47" s="25"/>
      <c r="AS47" s="25"/>
      <c r="AT47" s="25"/>
      <c r="AU47" s="25"/>
    </row>
    <row r="48" spans="1:47" ht="12.75">
      <c r="A48" s="33" t="s">
        <v>191</v>
      </c>
      <c r="B48" s="28"/>
      <c r="D48" s="8"/>
      <c r="E48" s="8">
        <f>+E46*0.25</f>
        <v>25000</v>
      </c>
      <c r="F48" s="8"/>
      <c r="G48" s="8"/>
      <c r="H48" s="8"/>
      <c r="I48" s="25"/>
      <c r="J48" s="25"/>
      <c r="K48" s="25"/>
      <c r="L48" s="25"/>
      <c r="M48" s="33" t="s">
        <v>191</v>
      </c>
      <c r="N48" s="28"/>
      <c r="P48" s="8"/>
      <c r="R48" s="25"/>
      <c r="S48" s="8">
        <f>+S46*0.25</f>
        <v>48046.875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R48" s="25"/>
      <c r="AS48" s="25"/>
      <c r="AT48" s="25"/>
      <c r="AU48" s="25"/>
    </row>
    <row r="49" spans="1:47" ht="12.75">
      <c r="A49" s="33" t="s">
        <v>19</v>
      </c>
      <c r="B49" s="28"/>
      <c r="D49" s="8"/>
      <c r="E49" s="35">
        <v>-50000</v>
      </c>
      <c r="F49" s="8"/>
      <c r="G49" s="8"/>
      <c r="H49" s="8"/>
      <c r="I49" s="25"/>
      <c r="J49" s="25"/>
      <c r="K49" s="25"/>
      <c r="L49" s="25"/>
      <c r="M49" s="33" t="s">
        <v>19</v>
      </c>
      <c r="N49" s="28"/>
      <c r="P49" s="8"/>
      <c r="R49" s="25"/>
      <c r="S49" s="35">
        <v>-20000</v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R49" s="25"/>
      <c r="AS49" s="25"/>
      <c r="AT49" s="25"/>
      <c r="AU49" s="25"/>
    </row>
    <row r="50" spans="1:47" ht="12.75">
      <c r="A50" s="4" t="s">
        <v>208</v>
      </c>
      <c r="B50" s="9"/>
      <c r="D50" s="8"/>
      <c r="E50" s="25">
        <f>SUM(E48:E49)</f>
        <v>-25000</v>
      </c>
      <c r="F50" s="8"/>
      <c r="G50" s="8"/>
      <c r="H50" s="8"/>
      <c r="I50" s="25"/>
      <c r="J50" s="25"/>
      <c r="K50" s="25"/>
      <c r="L50" s="25"/>
      <c r="M50" s="4" t="s">
        <v>208</v>
      </c>
      <c r="N50" s="9"/>
      <c r="P50" s="8"/>
      <c r="R50" s="25"/>
      <c r="S50" s="25">
        <f>SUM(S48:S49)</f>
        <v>28046.875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R50" s="25"/>
      <c r="AS50" s="25"/>
      <c r="AT50" s="25"/>
      <c r="AU50" s="25"/>
    </row>
    <row r="51" spans="1:47" ht="9.75" customHeight="1">
      <c r="A51" s="8"/>
      <c r="B51" s="8"/>
      <c r="C51" s="8"/>
      <c r="D51" s="8"/>
      <c r="E51" s="8"/>
      <c r="F51" s="8"/>
      <c r="G51" s="8"/>
      <c r="H51" s="8"/>
      <c r="I51" s="25"/>
      <c r="J51" s="25"/>
      <c r="K51" s="25"/>
      <c r="L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R51" s="25"/>
      <c r="AS51" s="25"/>
      <c r="AT51" s="25"/>
      <c r="AU51" s="25"/>
    </row>
    <row r="52" spans="1:47" ht="12.75">
      <c r="A52" s="129" t="s">
        <v>395</v>
      </c>
      <c r="B52" s="129"/>
      <c r="C52" s="129"/>
      <c r="D52" s="129"/>
      <c r="E52" s="129"/>
      <c r="F52" s="129"/>
      <c r="G52" s="129"/>
      <c r="H52" s="129"/>
      <c r="I52" s="100"/>
      <c r="J52" s="100"/>
      <c r="K52" s="8"/>
      <c r="L52" s="8"/>
      <c r="M52" s="4" t="s">
        <v>205</v>
      </c>
      <c r="R52" s="8"/>
      <c r="S52" s="25"/>
      <c r="T52" s="8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</row>
    <row r="53" spans="1:47" ht="12.75">
      <c r="A53" s="129" t="s">
        <v>396</v>
      </c>
      <c r="B53" s="129"/>
      <c r="C53" s="129"/>
      <c r="D53" s="129"/>
      <c r="E53" s="129"/>
      <c r="F53" s="129"/>
      <c r="G53" s="129"/>
      <c r="H53" s="129"/>
      <c r="I53" s="100"/>
      <c r="J53" s="100"/>
      <c r="K53" s="25"/>
      <c r="L53" s="25"/>
      <c r="M53" s="4" t="s">
        <v>208</v>
      </c>
      <c r="R53" s="25"/>
      <c r="S53" s="25">
        <f>+S50</f>
        <v>28046.875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1:47" ht="12.75">
      <c r="A54" s="4" t="s">
        <v>397</v>
      </c>
      <c r="I54" s="8"/>
      <c r="J54" s="8"/>
      <c r="K54" s="25"/>
      <c r="L54" s="25"/>
      <c r="M54" s="4" t="s">
        <v>203</v>
      </c>
      <c r="R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</row>
    <row r="55" spans="1:47" ht="12.75">
      <c r="A55" s="4" t="s">
        <v>240</v>
      </c>
      <c r="I55" s="8"/>
      <c r="J55" s="8"/>
      <c r="K55" s="25"/>
      <c r="L55" s="25"/>
      <c r="M55" s="4" t="s">
        <v>204</v>
      </c>
      <c r="R55" s="25"/>
      <c r="S55" s="50">
        <f>+G81</f>
        <v>-12187.5</v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</row>
    <row r="56" spans="1:47" ht="12.75">
      <c r="A56" s="4" t="s">
        <v>209</v>
      </c>
      <c r="I56" s="8"/>
      <c r="J56" s="8"/>
      <c r="K56" s="25"/>
      <c r="L56" s="25"/>
      <c r="R56" s="25"/>
      <c r="S56" s="50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</row>
    <row r="57" spans="9:47" ht="12.75">
      <c r="I57" s="8"/>
      <c r="J57" s="8"/>
      <c r="K57" s="25"/>
      <c r="L57" s="25"/>
      <c r="M57" s="4" t="s">
        <v>210</v>
      </c>
      <c r="R57" s="25"/>
      <c r="S57" s="25">
        <f>SUM(S53:S55)</f>
        <v>15859.375</v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</row>
    <row r="58" spans="1:47" ht="12.75">
      <c r="A58" s="4" t="s">
        <v>179</v>
      </c>
      <c r="I58" s="8"/>
      <c r="J58" s="8"/>
      <c r="K58" s="25"/>
      <c r="L58" s="25"/>
      <c r="R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ht="12.75">
      <c r="A59" s="33" t="s">
        <v>180</v>
      </c>
      <c r="B59" s="28"/>
      <c r="D59" s="8"/>
      <c r="E59" s="8">
        <f>+E46-E48</f>
        <v>75000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ht="12.75">
      <c r="A60" s="33"/>
      <c r="B60" s="28"/>
      <c r="D60" s="8"/>
      <c r="E60" s="8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ht="12.75">
      <c r="A61" s="33" t="s">
        <v>191</v>
      </c>
      <c r="B61" s="28"/>
      <c r="D61" s="8"/>
      <c r="E61" s="8">
        <f>+E59*0.25</f>
        <v>18750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ht="12.75">
      <c r="A62" s="33" t="s">
        <v>19</v>
      </c>
      <c r="B62" s="28"/>
      <c r="D62" s="8"/>
      <c r="E62" s="35">
        <v>-50000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  <row r="63" spans="1:47" ht="12.75">
      <c r="A63" s="4" t="s">
        <v>208</v>
      </c>
      <c r="B63" s="9"/>
      <c r="D63" s="8"/>
      <c r="E63" s="25">
        <f>SUM(E61:E62)</f>
        <v>-31250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</row>
    <row r="64" spans="5:47" ht="9.75" customHeight="1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</row>
    <row r="65" spans="1:47" ht="12.75">
      <c r="A65" s="4" t="s">
        <v>202</v>
      </c>
      <c r="E65" s="25">
        <f>-(+E50+E63)</f>
        <v>56250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</row>
    <row r="66" spans="14:47" ht="12.75"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</row>
    <row r="67" spans="1:47" ht="12.75">
      <c r="A67" s="4" t="s">
        <v>60</v>
      </c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</row>
    <row r="68" spans="1:47" ht="12.75">
      <c r="A68" s="33" t="s">
        <v>180</v>
      </c>
      <c r="B68" s="28"/>
      <c r="D68" s="8"/>
      <c r="E68" s="8">
        <f>+E59-E61+E28</f>
        <v>256250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</row>
    <row r="69" spans="1:47" ht="9.75" customHeight="1">
      <c r="A69" s="33"/>
      <c r="B69" s="28"/>
      <c r="D69" s="8"/>
      <c r="E69" s="8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</row>
    <row r="70" spans="1:47" ht="12.75">
      <c r="A70" s="33" t="s">
        <v>191</v>
      </c>
      <c r="B70" s="28"/>
      <c r="D70" s="8"/>
      <c r="E70" s="8">
        <f>+E68*0.25</f>
        <v>64062.5</v>
      </c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</row>
    <row r="71" spans="1:47" ht="12.75">
      <c r="A71" s="33" t="s">
        <v>19</v>
      </c>
      <c r="B71" s="28"/>
      <c r="D71" s="8"/>
      <c r="E71" s="35">
        <f>E29</f>
        <v>-20000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</row>
    <row r="72" spans="1:47" ht="12.75">
      <c r="A72" s="4" t="s">
        <v>208</v>
      </c>
      <c r="B72" s="9"/>
      <c r="D72" s="8"/>
      <c r="E72" s="25">
        <f>SUM(E70:E71)</f>
        <v>44062.5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</row>
    <row r="73" spans="5:47" ht="9.75" customHeight="1">
      <c r="E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</row>
    <row r="74" spans="1:47" ht="12.75">
      <c r="A74" s="4" t="s">
        <v>202</v>
      </c>
      <c r="E74" s="25">
        <f>+E65-E72</f>
        <v>12187.5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</row>
    <row r="75" spans="1:47" ht="12.75">
      <c r="A75" s="129"/>
      <c r="B75" s="129"/>
      <c r="C75" s="129"/>
      <c r="D75" s="129"/>
      <c r="E75" s="101"/>
      <c r="F75" s="101"/>
      <c r="G75" s="101"/>
      <c r="H75" s="101"/>
      <c r="I75" s="101"/>
      <c r="J75" s="101"/>
      <c r="K75" s="101"/>
      <c r="L75" s="101"/>
      <c r="M75" s="101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</row>
    <row r="76" spans="1:47" ht="12.75">
      <c r="A76" s="129" t="s">
        <v>201</v>
      </c>
      <c r="B76" s="129"/>
      <c r="C76" s="129"/>
      <c r="D76" s="129"/>
      <c r="E76" s="101"/>
      <c r="F76" s="101"/>
      <c r="G76" s="100"/>
      <c r="H76" s="100"/>
      <c r="I76" s="101"/>
      <c r="J76" s="101"/>
      <c r="K76" s="101"/>
      <c r="L76" s="101"/>
      <c r="M76" s="101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</row>
    <row r="77" spans="1:47" ht="12.75">
      <c r="A77" s="129" t="s">
        <v>398</v>
      </c>
      <c r="B77" s="129"/>
      <c r="C77" s="129"/>
      <c r="D77" s="129"/>
      <c r="E77" s="101"/>
      <c r="F77" s="101"/>
      <c r="G77" s="100"/>
      <c r="H77" s="100"/>
      <c r="I77" s="101"/>
      <c r="J77" s="101"/>
      <c r="K77" s="101"/>
      <c r="L77" s="101"/>
      <c r="M77" s="101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</row>
    <row r="78" spans="1:47" ht="12.75">
      <c r="A78" s="4" t="s">
        <v>399</v>
      </c>
      <c r="E78" s="25"/>
      <c r="F78" s="25"/>
      <c r="G78" s="8"/>
      <c r="H78" s="8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</row>
    <row r="79" spans="1:47" ht="12.75">
      <c r="A79" s="4" t="s">
        <v>400</v>
      </c>
      <c r="F79" s="25"/>
      <c r="G79" s="25">
        <f>G33-K33</f>
        <v>180000</v>
      </c>
      <c r="H79" s="8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</row>
    <row r="80" spans="1:47" ht="12.75">
      <c r="A80" s="4" t="s">
        <v>401</v>
      </c>
      <c r="F80" s="25"/>
      <c r="G80" s="50">
        <f>+E68-E70</f>
        <v>192187.5</v>
      </c>
      <c r="H80" s="8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</row>
    <row r="81" spans="1:47" ht="12.75">
      <c r="A81" s="4" t="s">
        <v>431</v>
      </c>
      <c r="F81" s="25"/>
      <c r="G81" s="25">
        <f>+G79-G80</f>
        <v>-12187.5</v>
      </c>
      <c r="H81" s="8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</row>
    <row r="82" spans="6:47" ht="12.75">
      <c r="F82" s="25"/>
      <c r="G82" s="25"/>
      <c r="H82" s="8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</row>
    <row r="83" spans="1:47" ht="12.75">
      <c r="A83" s="4" t="s">
        <v>176</v>
      </c>
      <c r="E83" s="25"/>
      <c r="F83" s="25"/>
      <c r="G83" s="8"/>
      <c r="H83" s="8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</row>
    <row r="84" spans="1:47" ht="12.75">
      <c r="A84" s="4" t="s">
        <v>243</v>
      </c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</row>
    <row r="85" spans="1:47" ht="12.75">
      <c r="A85" s="4" t="s">
        <v>402</v>
      </c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</row>
    <row r="86" spans="5:47" ht="12.75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</row>
    <row r="87" spans="6:47" ht="12.75"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</row>
    <row r="88" spans="6:47" ht="12.75"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</row>
    <row r="89" spans="6:47" ht="9.75" customHeight="1"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</row>
    <row r="90" spans="6:47" ht="12.75"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</row>
    <row r="91" spans="6:47" ht="12.75"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</row>
    <row r="92" spans="6:47" ht="12.75"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</row>
    <row r="93" spans="6:47" ht="12.75"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</row>
    <row r="94" spans="6:47" ht="12.75"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</row>
    <row r="95" spans="6:47" ht="12.75"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</row>
    <row r="96" spans="6:47" ht="12.75"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</row>
    <row r="97" spans="6:47" ht="12.75"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</row>
    <row r="98" spans="6:47" ht="12.75"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</row>
    <row r="99" spans="5:47" ht="12.75"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</row>
    <row r="100" spans="5:47" ht="12.75"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</row>
    <row r="101" spans="5:47" ht="12.75"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</row>
    <row r="102" spans="5:47" ht="12.75"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</row>
    <row r="103" spans="5:47" ht="12.75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</row>
    <row r="104" spans="5:47" ht="12.75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</row>
    <row r="105" spans="5:47" ht="12.75"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</row>
    <row r="106" spans="5:47" ht="12.75"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</row>
    <row r="107" spans="5:47" ht="12.75"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</row>
    <row r="108" spans="5:47" ht="12.75"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</row>
    <row r="109" spans="5:47" ht="12.75"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</row>
    <row r="110" spans="5:47" ht="12.75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</row>
    <row r="111" spans="5:47" ht="12.75"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</row>
    <row r="112" spans="5:47" ht="12.75"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</row>
    <row r="113" spans="5:47" ht="12.75"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</row>
    <row r="114" spans="5:47" ht="12.75"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</row>
    <row r="115" spans="5:47" ht="12.75"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</row>
    <row r="116" spans="5:47" ht="12.75"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</row>
    <row r="117" spans="5:47" ht="12.75"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</row>
    <row r="118" spans="5:47" ht="12.75"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</row>
    <row r="119" spans="5:47" ht="12.75"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</row>
    <row r="120" spans="5:47" ht="12.75"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</row>
    <row r="121" spans="5:47" ht="12.75"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</row>
    <row r="122" spans="5:47" ht="12.75"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</row>
    <row r="123" spans="5:47" ht="12.75"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</row>
    <row r="124" spans="5:47" ht="12.75"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</row>
    <row r="125" spans="5:47" ht="12.75"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</row>
    <row r="126" spans="5:47" ht="12.75"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</row>
    <row r="127" spans="5:47" ht="12.75"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</row>
    <row r="128" spans="5:47" ht="12.75"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</row>
    <row r="129" spans="5:47" ht="12.75"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</row>
    <row r="130" spans="5:47" ht="12.75"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</row>
    <row r="131" spans="5:47" ht="12.75"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</row>
    <row r="132" spans="5:47" ht="12.75"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</row>
    <row r="133" spans="5:47" ht="12.75"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</row>
    <row r="134" spans="5:47" ht="12.75"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</row>
    <row r="135" spans="5:47" ht="12.75"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</row>
    <row r="136" spans="5:47" ht="12.75"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</row>
    <row r="137" spans="5:47" ht="12.75"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</row>
    <row r="138" spans="5:47" ht="12.75"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</row>
    <row r="139" spans="5:47" ht="12.75"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</row>
    <row r="140" spans="5:47" ht="12.75"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</row>
    <row r="141" spans="5:47" ht="12.75"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</row>
    <row r="142" spans="5:47" ht="12.75"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</row>
    <row r="143" spans="5:47" ht="12.75"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</row>
    <row r="144" spans="5:47" ht="12.75"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</row>
    <row r="145" spans="5:47" ht="12.75"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</row>
    <row r="146" spans="5:47" ht="12.75"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</row>
    <row r="147" spans="5:47" ht="12.75"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</row>
    <row r="148" spans="5:47" ht="12.75"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</row>
    <row r="149" spans="5:47" ht="12.75"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</row>
    <row r="150" spans="5:47" ht="12.75"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</row>
    <row r="151" spans="5:47" ht="12.75"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</row>
    <row r="152" spans="5:47" ht="12.75"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</row>
    <row r="153" spans="5:47" ht="12.75"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</row>
    <row r="154" spans="5:47" ht="12.75"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</row>
    <row r="155" spans="5:47" ht="12.75"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</row>
    <row r="156" spans="5:47" ht="12.75"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</row>
    <row r="157" spans="5:47" ht="12.75"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</row>
    <row r="158" spans="5:47" ht="12.75"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</row>
    <row r="159" spans="5:47" ht="12.75"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</row>
    <row r="160" spans="5:47" ht="12.75"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</row>
    <row r="161" spans="5:47" ht="12.75"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</row>
    <row r="162" spans="5:47" ht="12.75"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</row>
    <row r="163" spans="5:47" ht="12.75"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</row>
    <row r="164" spans="5:47" ht="12.75"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</row>
    <row r="165" spans="5:47" ht="12.75"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</row>
    <row r="166" spans="5:47" ht="12.75"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</row>
    <row r="167" spans="5:47" ht="12.75"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</row>
    <row r="168" spans="5:47" ht="12.75"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</row>
    <row r="169" spans="5:47" ht="12.75"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</row>
    <row r="170" spans="5:47" ht="12.75"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</row>
    <row r="171" spans="5:47" ht="12.75"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</row>
    <row r="172" spans="5:47" ht="12.75"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</row>
    <row r="173" spans="5:47" ht="12.75"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</row>
    <row r="174" spans="5:47" ht="12.75"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</row>
    <row r="175" spans="5:47" ht="12.75"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</row>
    <row r="176" spans="5:47" ht="12.75"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</row>
    <row r="177" spans="5:47" ht="12.75"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</row>
    <row r="178" spans="5:47" ht="12.75"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</row>
    <row r="179" spans="5:47" ht="12.75"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</row>
    <row r="180" spans="5:47" ht="12.75"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</row>
    <row r="181" spans="5:47" ht="12.75"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</row>
    <row r="182" spans="5:47" ht="12.75"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</row>
    <row r="183" spans="5:47" ht="12.75"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</row>
    <row r="184" spans="5:47" ht="12.75"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</row>
    <row r="185" spans="5:47" ht="12.75"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</row>
    <row r="186" spans="5:47" ht="12.75"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</row>
    <row r="187" spans="5:47" ht="12.75"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</row>
    <row r="188" spans="5:47" ht="12.75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</row>
    <row r="189" spans="5:47" ht="12.75"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</row>
    <row r="190" spans="5:47" ht="12.75"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</row>
    <row r="191" spans="5:47" ht="12.75"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</row>
    <row r="192" spans="5:47" ht="12.75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</row>
    <row r="193" spans="5:47" ht="12.75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</row>
    <row r="194" spans="5:47" ht="12.75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</row>
    <row r="195" spans="5:47" ht="12.75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</row>
    <row r="196" spans="5:47" ht="12.75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</row>
    <row r="197" spans="5:47" ht="12.75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</row>
    <row r="198" spans="5:47" ht="12.75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</row>
    <row r="199" spans="5:47" ht="12.75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</row>
    <row r="200" spans="5:47" ht="12.75"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</row>
    <row r="201" spans="5:47" ht="12.75"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</row>
    <row r="202" spans="5:47" ht="12.75"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</row>
    <row r="203" spans="5:47" ht="12.75"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</row>
    <row r="204" spans="5:47" ht="12.75"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</row>
    <row r="205" spans="5:47" ht="12.75"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</row>
    <row r="206" spans="5:47" ht="12.75"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</row>
    <row r="207" spans="5:47" ht="12.75"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</row>
    <row r="208" spans="5:47" ht="12.75"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</row>
    <row r="209" spans="5:47" ht="12.75"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</row>
    <row r="210" spans="5:47" ht="12.75"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</row>
    <row r="211" spans="5:47" ht="12.75"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</row>
    <row r="212" spans="5:47" ht="12.75"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</row>
    <row r="213" spans="5:47" ht="12.75"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</row>
    <row r="214" spans="5:47" ht="12.75"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</row>
    <row r="215" spans="5:47" ht="12.75"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</row>
    <row r="216" spans="5:47" ht="12.75"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</row>
    <row r="217" spans="5:47" ht="12.75"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</row>
    <row r="218" spans="5:47" ht="12.75"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</row>
    <row r="219" spans="5:47" ht="12.75"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</row>
    <row r="220" spans="5:47" ht="12.75"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</row>
    <row r="221" spans="5:47" ht="12.75"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</row>
    <row r="222" spans="5:47" ht="12.75"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</row>
    <row r="223" spans="5:47" ht="12.75"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</row>
    <row r="224" spans="5:47" ht="12.75"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</row>
    <row r="225" spans="5:47" ht="12.75"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</row>
    <row r="226" spans="5:47" ht="12.75"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</row>
    <row r="227" spans="5:47" ht="12.75"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</row>
    <row r="228" spans="5:47" ht="12.75"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</row>
    <row r="229" spans="5:47" ht="12.75"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</row>
    <row r="230" spans="5:47" ht="12.75"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</row>
    <row r="231" spans="5:47" ht="12.75"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</row>
    <row r="232" spans="5:47" ht="12.75"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</row>
    <row r="233" spans="5:47" ht="12.75"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</row>
    <row r="234" spans="5:47" ht="12.75"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</row>
    <row r="235" spans="5:47" ht="12.75"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</row>
    <row r="236" spans="5:47" ht="12.75"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</row>
    <row r="237" spans="5:47" ht="12.75"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</row>
    <row r="238" spans="5:47" ht="12.75"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</row>
    <row r="239" spans="5:47" ht="12.75"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</row>
    <row r="240" spans="5:47" ht="12.75"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</row>
    <row r="241" spans="5:47" ht="12.75"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</row>
    <row r="242" spans="5:47" ht="12.75"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</row>
    <row r="243" spans="5:47" ht="12.75"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</row>
    <row r="244" spans="5:47" ht="12.75"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</row>
    <row r="245" spans="5:47" ht="12.75"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</row>
    <row r="246" spans="5:47" ht="12.75"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</row>
    <row r="247" spans="5:47" ht="12.75"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</row>
    <row r="248" spans="5:47" ht="12.75"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</row>
    <row r="249" spans="5:47" ht="12.75"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</row>
    <row r="250" spans="5:47" ht="12.75"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</row>
    <row r="251" spans="5:47" ht="12.75"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</row>
    <row r="252" spans="5:47" ht="12.75"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</row>
    <row r="253" spans="5:47" ht="12.75"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</row>
    <row r="254" spans="5:47" ht="12.75"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</row>
    <row r="255" spans="5:47" ht="12.75"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</row>
    <row r="256" spans="5:47" ht="12.75"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</row>
    <row r="257" spans="5:47" ht="12.75"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</row>
    <row r="258" spans="5:47" ht="12.75"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</row>
    <row r="259" spans="5:47" ht="12.75"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</row>
    <row r="260" spans="5:47" ht="12.75"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</row>
    <row r="261" spans="5:47" ht="12.75"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</row>
    <row r="262" spans="5:47" ht="12.75"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</row>
    <row r="263" spans="5:47" ht="12.75"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</row>
    <row r="264" spans="5:47" ht="12.75"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</row>
    <row r="265" spans="5:47" ht="12.75"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</row>
    <row r="266" spans="5:47" ht="12.75"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</row>
    <row r="267" spans="5:47" ht="12.75"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</row>
    <row r="268" spans="5:47" ht="12.75"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</row>
    <row r="269" spans="5:47" ht="12.75"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</row>
    <row r="270" spans="5:47" ht="12.75"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</row>
    <row r="271" spans="5:47" ht="12.75"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</row>
    <row r="272" spans="5:47" ht="12.75"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</row>
    <row r="273" spans="5:47" ht="12.75"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</row>
    <row r="274" spans="5:47" ht="12.75"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</row>
    <row r="275" spans="5:47" ht="12.75"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</row>
    <row r="276" spans="5:47" ht="12.75"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</row>
    <row r="277" spans="5:47" ht="12.75"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</row>
    <row r="278" spans="5:47" ht="12.75"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</row>
    <row r="279" spans="5:47" ht="12.75"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</row>
    <row r="280" spans="5:47" ht="12.75"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</row>
    <row r="281" spans="5:47" ht="12.75"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</row>
    <row r="282" spans="5:47" ht="12.75"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</row>
    <row r="283" spans="5:47" ht="12.75"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</row>
    <row r="284" spans="5:47" ht="12.75"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</row>
    <row r="285" spans="5:47" ht="12.75"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</row>
    <row r="286" spans="5:47" ht="12.75"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</row>
    <row r="287" spans="5:47" ht="12.75"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</row>
    <row r="288" spans="5:47" ht="12.75"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</row>
    <row r="289" spans="5:47" ht="12.75"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</row>
    <row r="290" spans="5:47" ht="12.75"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</row>
    <row r="291" spans="5:47" ht="12.75"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</row>
    <row r="292" spans="5:47" ht="12.75"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</row>
    <row r="293" spans="5:47" ht="12.75"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</row>
    <row r="294" spans="5:47" ht="12.75"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</row>
    <row r="295" spans="5:47" ht="12.75"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</row>
    <row r="296" spans="5:47" ht="12.75"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</row>
    <row r="297" spans="5:47" ht="12.75"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</row>
    <row r="298" spans="5:47" ht="12.75"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</row>
    <row r="299" spans="5:47" ht="12.75"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</row>
    <row r="300" spans="5:47" ht="12.75"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</row>
    <row r="301" spans="5:47" ht="12.75"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</row>
    <row r="302" spans="5:47" ht="12.75"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</row>
    <row r="303" spans="5:47" ht="12.75"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</row>
    <row r="304" spans="5:47" ht="12.75"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</row>
    <row r="305" spans="5:47" ht="12.75"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</row>
    <row r="306" spans="5:47" ht="12.75"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</row>
    <row r="307" spans="5:47" ht="12.75"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</row>
    <row r="308" spans="5:47" ht="12.75"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</row>
    <row r="309" spans="5:47" ht="12.75"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</row>
    <row r="310" spans="5:47" ht="12.75"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</row>
    <row r="311" spans="5:47" ht="12.75"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</row>
    <row r="312" spans="5:47" ht="12.75"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</row>
    <row r="313" spans="5:47" ht="12.75"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</row>
    <row r="314" spans="5:47" ht="12.75"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</row>
    <row r="315" spans="5:47" ht="12.75"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</row>
    <row r="316" spans="5:47" ht="12.75"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</row>
    <row r="317" spans="5:47" ht="12.75"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</row>
    <row r="318" spans="5:47" ht="12.75"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</row>
    <row r="319" spans="5:47" ht="12.75"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</row>
    <row r="320" spans="5:47" ht="12.75"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</row>
    <row r="321" spans="5:47" ht="12.75"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</row>
    <row r="322" spans="5:47" ht="12.75"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</row>
    <row r="323" spans="5:47" ht="12.75"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</row>
    <row r="324" spans="5:47" ht="12.75"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</row>
    <row r="325" spans="5:47" ht="12.75"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</row>
    <row r="326" spans="5:47" ht="12.75"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</row>
    <row r="327" spans="5:47" ht="12.75"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</row>
    <row r="328" spans="5:47" ht="12.75"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</row>
    <row r="329" spans="5:47" ht="12.75"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</row>
    <row r="330" spans="5:47" ht="12.75"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</row>
    <row r="331" spans="5:47" ht="12.75"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</row>
    <row r="332" spans="5:47" ht="12.75"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</row>
    <row r="333" spans="5:47" ht="12.75"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</row>
    <row r="334" spans="5:47" ht="12.75"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</row>
    <row r="335" spans="5:47" ht="12.75"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</row>
    <row r="336" spans="5:47" ht="12.75"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</row>
    <row r="337" spans="5:47" ht="12.75"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</row>
    <row r="338" spans="5:47" ht="12.75"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</row>
    <row r="339" spans="5:47" ht="12.75"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</row>
    <row r="340" spans="5:47" ht="12.75"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</row>
    <row r="341" spans="5:47" ht="12.75"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</row>
    <row r="342" spans="5:47" ht="12.75"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</row>
    <row r="343" spans="5:47" ht="12.75"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</row>
    <row r="344" spans="5:47" ht="12.75"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</row>
    <row r="345" spans="5:47" ht="12.75"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</row>
    <row r="346" spans="5:47" ht="12.75"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</row>
    <row r="347" spans="5:47" ht="12.75"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</row>
    <row r="348" spans="5:47" ht="12.75"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</row>
    <row r="349" spans="5:47" ht="12.75"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</row>
    <row r="350" spans="5:47" ht="12.75"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</row>
    <row r="351" spans="5:47" ht="12.75"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</row>
    <row r="352" spans="5:47" ht="12.75"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</row>
    <row r="353" spans="5:47" ht="12.75"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</row>
    <row r="354" spans="5:47" ht="12.75"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</row>
    <row r="355" spans="5:47" ht="12.75"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</row>
    <row r="356" spans="5:47" ht="12.75"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</row>
    <row r="357" spans="5:47" ht="12.75"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</row>
    <row r="358" spans="5:47" ht="12.75"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</row>
    <row r="359" spans="5:47" ht="12.75"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</row>
    <row r="360" spans="5:47" ht="12.75"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</row>
    <row r="361" spans="5:47" ht="12.75"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</row>
    <row r="362" spans="5:47" ht="12.75"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</row>
    <row r="363" spans="5:47" ht="12.75"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</row>
    <row r="364" spans="5:47" ht="12.75"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</row>
    <row r="365" spans="5:47" ht="12.75"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</row>
    <row r="366" spans="5:47" ht="12.75"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</row>
    <row r="367" spans="5:47" ht="12.75"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</row>
    <row r="368" spans="5:47" ht="12.75"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</row>
    <row r="369" spans="5:47" ht="12.75"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</row>
    <row r="370" spans="5:47" ht="12.75"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</row>
    <row r="371" spans="5:47" ht="12.75"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</row>
    <row r="372" spans="5:47" ht="12.75"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</row>
    <row r="373" spans="5:47" ht="12.75"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</row>
    <row r="374" spans="5:47" ht="12.75"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</row>
    <row r="375" spans="5:47" ht="12.75"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</row>
    <row r="376" spans="5:47" ht="12.75"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</row>
    <row r="377" spans="5:47" ht="12.75"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</row>
    <row r="378" spans="5:47" ht="12.75"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</row>
    <row r="379" spans="5:47" ht="12.75"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</row>
    <row r="380" spans="5:47" ht="12.75"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</row>
    <row r="381" spans="5:47" ht="12.75"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</row>
    <row r="382" spans="5:47" ht="12.75"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</row>
    <row r="383" spans="5:47" ht="12.75"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</row>
    <row r="384" spans="5:47" ht="12.75"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</row>
    <row r="385" spans="5:47" ht="12.75"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</row>
    <row r="386" spans="5:47" ht="12.75"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</row>
    <row r="387" spans="5:47" ht="12.75"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</row>
    <row r="388" spans="5:47" ht="12.75"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</row>
    <row r="389" spans="5:47" ht="12.75"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</row>
    <row r="390" spans="5:47" ht="12.75"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</row>
    <row r="391" spans="5:47" ht="12.75"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</row>
    <row r="392" spans="5:47" ht="12.75"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</row>
    <row r="393" spans="5:47" ht="12.75"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</row>
    <row r="394" spans="5:47" ht="12.75"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</row>
    <row r="395" spans="5:47" ht="12.75"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</row>
    <row r="396" spans="5:47" ht="12.75"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</row>
    <row r="397" spans="5:47" ht="12.75"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</row>
    <row r="398" spans="5:47" ht="12.75"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</row>
    <row r="399" spans="5:47" ht="12.75"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</row>
    <row r="400" spans="5:47" ht="12.75"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</row>
    <row r="401" spans="5:47" ht="12.75"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</row>
    <row r="402" spans="5:47" ht="12.75"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</row>
    <row r="403" spans="5:47" ht="12.75"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</row>
    <row r="404" spans="5:47" ht="12.75"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</row>
    <row r="405" spans="5:47" ht="12.75"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</row>
    <row r="406" spans="5:47" ht="12.75"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</row>
    <row r="407" spans="5:47" ht="12.75"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</row>
    <row r="408" spans="5:47" ht="12.75"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</row>
    <row r="409" spans="5:47" ht="12.75"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</row>
    <row r="410" spans="5:47" ht="12.75"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</row>
    <row r="411" spans="5:47" ht="12.75"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</row>
    <row r="412" spans="5:47" ht="12.75"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</row>
    <row r="413" spans="5:47" ht="12.75"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</row>
    <row r="414" spans="5:47" ht="12.75"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</row>
    <row r="415" spans="5:47" ht="12.75"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</row>
    <row r="416" spans="5:47" ht="12.75"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</row>
    <row r="417" spans="5:47" ht="12.75"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</row>
    <row r="418" spans="5:47" ht="12.75"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</row>
    <row r="419" spans="5:47" ht="12.75"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</row>
    <row r="420" spans="5:47" ht="12.75"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</row>
    <row r="421" spans="5:47" ht="12.75"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</row>
    <row r="422" spans="5:47" ht="12.75"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</row>
    <row r="423" spans="5:47" ht="12.75"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</row>
    <row r="424" spans="5:47" ht="12.75"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</row>
    <row r="425" spans="5:47" ht="12.75"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</row>
    <row r="426" spans="5:47" ht="12.75"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</row>
    <row r="427" spans="5:47" ht="12.75"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</row>
    <row r="428" spans="5:47" ht="12.75"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</row>
    <row r="429" spans="5:47" ht="12.75"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</row>
    <row r="430" spans="5:47" ht="12.75"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</row>
    <row r="431" spans="5:47" ht="12.75"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</row>
    <row r="432" spans="5:47" ht="12.75"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</row>
    <row r="433" spans="5:47" ht="12.75"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</row>
    <row r="434" spans="5:47" ht="12.75"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</row>
    <row r="435" spans="5:47" ht="12.75"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</row>
    <row r="436" spans="5:47" ht="12.75"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</row>
    <row r="437" spans="5:47" ht="12.75"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</row>
    <row r="438" spans="5:47" ht="12.75"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</row>
    <row r="439" spans="5:47" ht="12.75"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</row>
    <row r="440" spans="5:47" ht="12.75"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</row>
    <row r="441" spans="5:47" ht="12.75"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</row>
    <row r="442" spans="5:47" ht="12.75"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</row>
    <row r="443" spans="5:47" ht="12.75"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</row>
    <row r="444" spans="5:47" ht="12.75"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</row>
    <row r="445" spans="5:47" ht="12.75"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</row>
    <row r="446" spans="5:47" ht="12.75"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</row>
    <row r="447" spans="5:47" ht="12.75"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</row>
    <row r="448" spans="5:47" ht="12.75"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</row>
    <row r="449" spans="5:47" ht="12.75"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</row>
    <row r="450" spans="5:47" ht="12.75"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</row>
    <row r="451" spans="5:47" ht="12.75"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</row>
    <row r="452" spans="5:47" ht="12.75"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</row>
    <row r="453" spans="5:47" ht="12.75"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</row>
    <row r="454" spans="5:47" ht="12.75"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</row>
    <row r="455" spans="5:47" ht="12.75"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</row>
    <row r="456" spans="5:47" ht="12.75"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</row>
    <row r="457" spans="5:47" ht="12.75"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</row>
    <row r="458" spans="5:47" ht="12.75"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</row>
    <row r="459" spans="5:47" ht="12.75"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</row>
    <row r="460" spans="5:47" ht="12.75"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</row>
    <row r="461" spans="5:47" ht="12.75"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</row>
    <row r="462" spans="5:47" ht="12.75"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</row>
    <row r="463" spans="5:47" ht="12.75"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</row>
    <row r="464" spans="5:47" ht="12.75"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</row>
    <row r="465" spans="5:47" ht="12.75"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</row>
    <row r="466" spans="5:47" ht="12.75"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</row>
    <row r="467" spans="5:47" ht="12.75"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</row>
    <row r="468" spans="5:47" ht="12.75"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</row>
    <row r="469" spans="5:47" ht="12.75"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</row>
    <row r="470" spans="5:47" ht="12.75"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</row>
    <row r="471" spans="5:47" ht="12.75"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</row>
    <row r="472" spans="5:47" ht="12.75"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</row>
    <row r="473" spans="5:47" ht="12.75"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</row>
    <row r="474" spans="5:47" ht="12.75"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</row>
    <row r="475" spans="5:47" ht="12.75"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</row>
    <row r="476" spans="5:47" ht="12.75"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</row>
  </sheetData>
  <mergeCells count="2">
    <mergeCell ref="P11:Q11"/>
    <mergeCell ref="P12:Q12"/>
  </mergeCells>
  <printOptions/>
  <pageMargins left="0.75" right="0.75" top="1" bottom="1" header="0.5" footer="0.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I39"/>
  <sheetViews>
    <sheetView workbookViewId="0" topLeftCell="A1">
      <selection activeCell="H23" sqref="H23"/>
    </sheetView>
  </sheetViews>
  <sheetFormatPr defaultColWidth="9.00390625" defaultRowHeight="12.75"/>
  <cols>
    <col min="3" max="3" width="18.75390625" style="0" customWidth="1"/>
    <col min="4" max="4" width="2.00390625" style="0" customWidth="1"/>
    <col min="5" max="5" width="6.75390625" style="0" customWidth="1"/>
    <col min="6" max="6" width="7.125" style="0" customWidth="1"/>
    <col min="7" max="7" width="0.875" style="0" hidden="1" customWidth="1"/>
    <col min="8" max="8" width="6.75390625" style="0" customWidth="1"/>
    <col min="9" max="9" width="8.00390625" style="0" customWidth="1"/>
    <col min="10" max="10" width="0.875" style="0" customWidth="1"/>
    <col min="11" max="12" width="6.75390625" style="0" customWidth="1"/>
    <col min="13" max="13" width="0.74609375" style="0" customWidth="1"/>
    <col min="14" max="14" width="6.00390625" style="0" customWidth="1"/>
    <col min="15" max="15" width="6.75390625" style="0" customWidth="1"/>
    <col min="16" max="16" width="0.74609375" style="0" customWidth="1"/>
    <col min="17" max="18" width="6.75390625" style="0" customWidth="1"/>
    <col min="19" max="19" width="0.6171875" style="0" customWidth="1"/>
    <col min="20" max="21" width="6.75390625" style="0" customWidth="1"/>
    <col min="22" max="22" width="0.6171875" style="0" customWidth="1"/>
    <col min="23" max="23" width="6.625" style="0" customWidth="1"/>
    <col min="24" max="24" width="5.75390625" style="0" customWidth="1"/>
    <col min="25" max="25" width="0.6171875" style="0" customWidth="1"/>
    <col min="26" max="26" width="5.25390625" style="0" customWidth="1"/>
    <col min="27" max="27" width="6.875" style="0" customWidth="1"/>
    <col min="28" max="51" width="6.75390625" style="0" customWidth="1"/>
  </cols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10" t="s">
        <v>159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0" t="s">
        <v>231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2.75">
      <c r="A7" s="4" t="s">
        <v>314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4" t="s">
        <v>315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39" ht="12.75">
      <c r="A9" s="4"/>
      <c r="B9" s="4"/>
      <c r="C9" s="4"/>
      <c r="D9" s="4"/>
      <c r="E9" s="4"/>
      <c r="F9" s="4"/>
      <c r="G9" s="4"/>
      <c r="H9" s="150" t="s">
        <v>403</v>
      </c>
      <c r="I9" s="150"/>
      <c r="J9" s="4"/>
      <c r="K9" s="4"/>
      <c r="L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39" ht="12.75">
      <c r="A10" s="4"/>
      <c r="B10" s="4"/>
      <c r="C10" s="4"/>
      <c r="D10" s="4"/>
      <c r="E10" s="150" t="s">
        <v>28</v>
      </c>
      <c r="F10" s="150"/>
      <c r="G10" s="4"/>
      <c r="H10" s="150" t="s">
        <v>404</v>
      </c>
      <c r="I10" s="150"/>
      <c r="J10" s="4"/>
      <c r="K10" s="150"/>
      <c r="L10" s="150"/>
      <c r="N10" s="150" t="s">
        <v>238</v>
      </c>
      <c r="O10" s="150"/>
      <c r="P10" s="4"/>
      <c r="Q10" s="150" t="s">
        <v>235</v>
      </c>
      <c r="R10" s="150"/>
      <c r="S10" s="4"/>
      <c r="T10" s="150" t="s">
        <v>193</v>
      </c>
      <c r="U10" s="150"/>
      <c r="V10" s="4"/>
      <c r="W10" s="150" t="s">
        <v>197</v>
      </c>
      <c r="X10" s="150"/>
      <c r="Y10" s="4"/>
      <c r="Z10" s="150"/>
      <c r="AA10" s="150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39" ht="12.75">
      <c r="A11" s="4"/>
      <c r="B11" s="4"/>
      <c r="C11" s="4"/>
      <c r="D11" s="4"/>
      <c r="E11" s="149" t="s">
        <v>247</v>
      </c>
      <c r="F11" s="149"/>
      <c r="G11" s="4"/>
      <c r="H11" s="149" t="s">
        <v>405</v>
      </c>
      <c r="I11" s="149"/>
      <c r="J11" s="4"/>
      <c r="K11" s="149" t="s">
        <v>227</v>
      </c>
      <c r="L11" s="149"/>
      <c r="N11" s="149" t="s">
        <v>239</v>
      </c>
      <c r="O11" s="149"/>
      <c r="P11" s="4"/>
      <c r="Q11" s="149" t="s">
        <v>237</v>
      </c>
      <c r="R11" s="149"/>
      <c r="S11" s="4"/>
      <c r="T11" s="149" t="s">
        <v>194</v>
      </c>
      <c r="U11" s="149"/>
      <c r="V11" s="4"/>
      <c r="W11" s="149" t="s">
        <v>198</v>
      </c>
      <c r="X11" s="149"/>
      <c r="Y11" s="4"/>
      <c r="Z11" s="149" t="s">
        <v>236</v>
      </c>
      <c r="AA11" s="149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1:87" ht="12.75">
      <c r="A12" s="22"/>
      <c r="B12" s="69"/>
      <c r="C12" s="70"/>
      <c r="D12" s="4"/>
      <c r="E12" s="5"/>
      <c r="F12" s="25"/>
      <c r="G12" s="25"/>
      <c r="H12" s="5"/>
      <c r="I12" s="25"/>
      <c r="J12" s="25"/>
      <c r="K12" s="5"/>
      <c r="L12" s="25"/>
      <c r="M12" s="51"/>
      <c r="N12" s="5"/>
      <c r="O12" s="25"/>
      <c r="P12" s="25"/>
      <c r="Q12" s="5"/>
      <c r="R12" s="25"/>
      <c r="S12" s="25"/>
      <c r="T12" s="5"/>
      <c r="U12" s="25"/>
      <c r="V12" s="25"/>
      <c r="W12" s="5"/>
      <c r="X12" s="25"/>
      <c r="Y12" s="25"/>
      <c r="Z12" s="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</row>
    <row r="13" spans="1:87" ht="12.75">
      <c r="A13" s="27" t="s">
        <v>316</v>
      </c>
      <c r="B13" s="33"/>
      <c r="C13" s="32"/>
      <c r="D13" s="4"/>
      <c r="E13" s="5">
        <v>500000</v>
      </c>
      <c r="F13" s="25"/>
      <c r="G13" s="25"/>
      <c r="H13" s="5"/>
      <c r="I13" s="25"/>
      <c r="J13" s="25"/>
      <c r="K13" s="5"/>
      <c r="L13" s="25"/>
      <c r="M13" s="51"/>
      <c r="N13" s="5"/>
      <c r="O13" s="25"/>
      <c r="P13" s="25"/>
      <c r="Q13" s="5"/>
      <c r="R13" s="25"/>
      <c r="S13" s="25"/>
      <c r="T13" s="5"/>
      <c r="U13" s="25"/>
      <c r="V13" s="25"/>
      <c r="W13" s="5"/>
      <c r="X13" s="25"/>
      <c r="Y13" s="25"/>
      <c r="Z13" s="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</row>
    <row r="14" spans="1:87" ht="12.75">
      <c r="A14" s="27" t="s">
        <v>232</v>
      </c>
      <c r="B14" s="33"/>
      <c r="C14" s="32"/>
      <c r="D14" s="4"/>
      <c r="E14" s="5"/>
      <c r="F14" s="25">
        <v>500000</v>
      </c>
      <c r="G14" s="25"/>
      <c r="H14" s="5">
        <v>500000</v>
      </c>
      <c r="I14" s="25"/>
      <c r="J14" s="25"/>
      <c r="K14" s="5"/>
      <c r="L14" s="25"/>
      <c r="M14" s="51"/>
      <c r="N14" s="5"/>
      <c r="O14" s="25"/>
      <c r="P14" s="25"/>
      <c r="Q14" s="5"/>
      <c r="R14" s="25"/>
      <c r="S14" s="25"/>
      <c r="T14" s="5"/>
      <c r="U14" s="25"/>
      <c r="V14" s="25"/>
      <c r="W14" s="5"/>
      <c r="X14" s="25"/>
      <c r="Y14" s="25"/>
      <c r="Z14" s="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</row>
    <row r="15" spans="1:87" ht="12.75">
      <c r="A15" s="27" t="s">
        <v>317</v>
      </c>
      <c r="B15" s="33"/>
      <c r="C15" s="32"/>
      <c r="D15" s="4"/>
      <c r="E15" s="5"/>
      <c r="F15" s="25"/>
      <c r="G15" s="25"/>
      <c r="H15" s="5"/>
      <c r="I15" s="25"/>
      <c r="J15" s="25"/>
      <c r="K15" s="5">
        <v>600000</v>
      </c>
      <c r="L15" s="25"/>
      <c r="M15" s="51"/>
      <c r="N15" s="5"/>
      <c r="O15" s="25">
        <v>600000</v>
      </c>
      <c r="P15" s="25"/>
      <c r="Q15" s="5"/>
      <c r="R15" s="25"/>
      <c r="S15" s="25"/>
      <c r="T15" s="5"/>
      <c r="U15" s="25"/>
      <c r="V15" s="25"/>
      <c r="W15" s="5"/>
      <c r="X15" s="25"/>
      <c r="Y15" s="25"/>
      <c r="Z15" s="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</row>
    <row r="16" spans="1:87" ht="12.75">
      <c r="A16" s="27" t="s">
        <v>318</v>
      </c>
      <c r="B16" s="33"/>
      <c r="C16" s="32"/>
      <c r="D16" s="4"/>
      <c r="E16" s="5"/>
      <c r="F16" s="25"/>
      <c r="G16" s="25"/>
      <c r="H16" s="5"/>
      <c r="I16" s="25"/>
      <c r="J16" s="25"/>
      <c r="K16" s="5"/>
      <c r="L16" s="25"/>
      <c r="M16" s="51"/>
      <c r="N16" s="5"/>
      <c r="O16" s="25"/>
      <c r="P16" s="25"/>
      <c r="Q16" s="5">
        <v>100000</v>
      </c>
      <c r="R16" s="25"/>
      <c r="S16" s="25"/>
      <c r="T16" s="5"/>
      <c r="U16" s="25">
        <v>100000</v>
      </c>
      <c r="V16" s="25"/>
      <c r="W16" s="5"/>
      <c r="X16" s="25"/>
      <c r="Y16" s="25"/>
      <c r="Z16" s="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</row>
    <row r="17" spans="1:87" ht="12.75">
      <c r="A17" s="27"/>
      <c r="B17" s="33"/>
      <c r="C17" s="32"/>
      <c r="D17" s="4"/>
      <c r="E17" s="5"/>
      <c r="F17" s="25"/>
      <c r="G17" s="25"/>
      <c r="H17" s="5"/>
      <c r="I17" s="25"/>
      <c r="J17" s="25"/>
      <c r="K17" s="5"/>
      <c r="L17" s="25"/>
      <c r="M17" s="51"/>
      <c r="N17" s="5"/>
      <c r="O17" s="25"/>
      <c r="P17" s="25"/>
      <c r="Q17" s="5"/>
      <c r="R17" s="25"/>
      <c r="S17" s="25"/>
      <c r="T17" s="5"/>
      <c r="U17" s="25"/>
      <c r="V17" s="25"/>
      <c r="W17" s="5"/>
      <c r="X17" s="25"/>
      <c r="Y17" s="25"/>
      <c r="Z17" s="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</row>
    <row r="18" spans="1:87" ht="12.75">
      <c r="A18" s="27" t="s">
        <v>320</v>
      </c>
      <c r="B18" s="33"/>
      <c r="C18" s="32"/>
      <c r="D18" s="4"/>
      <c r="E18" s="5">
        <v>700000</v>
      </c>
      <c r="F18" s="25"/>
      <c r="G18" s="25"/>
      <c r="H18" s="5"/>
      <c r="I18" s="25"/>
      <c r="J18" s="25"/>
      <c r="K18" s="5"/>
      <c r="L18" s="25">
        <v>700000</v>
      </c>
      <c r="M18" s="51"/>
      <c r="N18" s="5"/>
      <c r="O18" s="25"/>
      <c r="P18" s="25"/>
      <c r="Q18" s="5"/>
      <c r="R18" s="25"/>
      <c r="S18" s="25"/>
      <c r="T18" s="5"/>
      <c r="U18" s="25"/>
      <c r="V18" s="25"/>
      <c r="W18" s="5"/>
      <c r="X18" s="25"/>
      <c r="Y18" s="25"/>
      <c r="Z18" s="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</row>
    <row r="19" spans="1:87" ht="12.75">
      <c r="A19" s="27" t="s">
        <v>319</v>
      </c>
      <c r="B19" s="33"/>
      <c r="C19" s="32"/>
      <c r="D19" s="4"/>
      <c r="E19" s="5"/>
      <c r="F19" s="25"/>
      <c r="G19" s="25"/>
      <c r="H19" s="5"/>
      <c r="I19" s="25"/>
      <c r="J19" s="25"/>
      <c r="K19" s="5"/>
      <c r="L19" s="25"/>
      <c r="M19" s="51"/>
      <c r="N19" s="5"/>
      <c r="O19" s="25"/>
      <c r="P19" s="25"/>
      <c r="Q19" s="5"/>
      <c r="R19" s="25">
        <v>100000</v>
      </c>
      <c r="S19" s="25"/>
      <c r="T19" s="5">
        <v>100000</v>
      </c>
      <c r="U19" s="25"/>
      <c r="V19" s="25"/>
      <c r="W19" s="5"/>
      <c r="X19" s="25"/>
      <c r="Y19" s="25"/>
      <c r="Z19" s="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</row>
    <row r="20" spans="1:87" ht="12.75">
      <c r="A20" s="27" t="s">
        <v>233</v>
      </c>
      <c r="B20" s="33"/>
      <c r="C20" s="32"/>
      <c r="D20" s="4"/>
      <c r="E20" s="5"/>
      <c r="F20" s="25"/>
      <c r="G20" s="25"/>
      <c r="H20" s="5"/>
      <c r="I20" s="25"/>
      <c r="J20" s="25"/>
      <c r="K20" s="5"/>
      <c r="L20" s="25"/>
      <c r="M20" s="51"/>
      <c r="N20" s="5"/>
      <c r="O20" s="25"/>
      <c r="P20" s="25"/>
      <c r="Q20" s="5"/>
      <c r="R20" s="25"/>
      <c r="S20" s="25"/>
      <c r="T20" s="5"/>
      <c r="U20" s="25"/>
      <c r="V20" s="25"/>
      <c r="W20" s="5">
        <v>100000</v>
      </c>
      <c r="X20" s="25"/>
      <c r="Y20" s="25"/>
      <c r="Z20" s="5"/>
      <c r="AA20" s="25">
        <v>100000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</row>
    <row r="21" spans="1:87" ht="12.75">
      <c r="A21" s="29"/>
      <c r="B21" s="21"/>
      <c r="C21" s="82"/>
      <c r="D21" s="4"/>
      <c r="E21" s="5"/>
      <c r="F21" s="25"/>
      <c r="G21" s="25"/>
      <c r="H21" s="5"/>
      <c r="I21" s="25"/>
      <c r="J21" s="25"/>
      <c r="K21" s="5"/>
      <c r="L21" s="25"/>
      <c r="M21" s="51"/>
      <c r="N21" s="5"/>
      <c r="O21" s="25"/>
      <c r="P21" s="25"/>
      <c r="Q21" s="5"/>
      <c r="R21" s="25"/>
      <c r="S21" s="25"/>
      <c r="T21" s="5"/>
      <c r="U21" s="25"/>
      <c r="V21" s="25"/>
      <c r="W21" s="5"/>
      <c r="X21" s="25"/>
      <c r="Y21" s="25"/>
      <c r="Z21" s="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</row>
    <row r="22" spans="1:87" ht="12.75">
      <c r="A22" s="4"/>
      <c r="B22" s="4"/>
      <c r="C22" s="4"/>
      <c r="D22" s="4"/>
      <c r="E22" s="25"/>
      <c r="F22" s="25"/>
      <c r="G22" s="25"/>
      <c r="H22" s="25"/>
      <c r="I22" s="25"/>
      <c r="J22" s="25"/>
      <c r="K22" s="25"/>
      <c r="L22" s="25"/>
      <c r="M22" s="51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</row>
    <row r="23" spans="1:3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 spans="1:3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 spans="1:3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1:39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 spans="1:3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 spans="1:3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1:3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mergeCells count="17">
    <mergeCell ref="H9:I9"/>
    <mergeCell ref="W10:X10"/>
    <mergeCell ref="W11:X11"/>
    <mergeCell ref="Z10:AA10"/>
    <mergeCell ref="Z11:AA11"/>
    <mergeCell ref="Q10:R10"/>
    <mergeCell ref="Q11:R11"/>
    <mergeCell ref="T10:U10"/>
    <mergeCell ref="T11:U11"/>
    <mergeCell ref="K10:L10"/>
    <mergeCell ref="K11:L11"/>
    <mergeCell ref="N10:O10"/>
    <mergeCell ref="N11:O11"/>
    <mergeCell ref="E10:F10"/>
    <mergeCell ref="E11:F11"/>
    <mergeCell ref="H10:I10"/>
    <mergeCell ref="H11:I11"/>
  </mergeCells>
  <printOptions/>
  <pageMargins left="0.75" right="0.75" top="1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Professional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Helka Ivaska</dc:creator>
  <cp:keywords/>
  <dc:description/>
  <cp:lastModifiedBy>JankaMa1</cp:lastModifiedBy>
  <cp:lastPrinted>2007-10-11T14:51:22Z</cp:lastPrinted>
  <dcterms:created xsi:type="dcterms:W3CDTF">1999-04-25T10:47:35Z</dcterms:created>
  <dcterms:modified xsi:type="dcterms:W3CDTF">2007-10-17T14:24:27Z</dcterms:modified>
  <cp:category/>
  <cp:version/>
  <cp:contentType/>
  <cp:contentStatus/>
</cp:coreProperties>
</file>